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Робоча  ПАПКА\Аналіз виконання  б-ту по видатках\2021\На сайт\01.12.21\"/>
    </mc:Choice>
  </mc:AlternateContent>
  <bookViews>
    <workbookView xWindow="0" yWindow="0" windowWidth="28800" windowHeight="12015"/>
  </bookViews>
  <sheets>
    <sheet name="2021" sheetId="22" r:id="rId1"/>
  </sheets>
  <definedNames>
    <definedName name="Print_Area" localSheetId="0">'2021'!$A$1:$X$128</definedName>
    <definedName name="Print_Titles" localSheetId="0">'2021'!$3:$5</definedName>
    <definedName name="_xlnm.Print_Titles" localSheetId="0">'2021'!$3:$5</definedName>
    <definedName name="_xlnm.Print_Area" localSheetId="0">'2021'!$A$1:$X$147</definedName>
  </definedNames>
  <calcPr calcId="152511"/>
</workbook>
</file>

<file path=xl/calcChain.xml><?xml version="1.0" encoding="utf-8"?>
<calcChain xmlns="http://schemas.openxmlformats.org/spreadsheetml/2006/main">
  <c r="V120" i="22" l="1"/>
  <c r="W120" i="22" s="1"/>
  <c r="V117" i="22"/>
  <c r="A106" i="22"/>
  <c r="A107" i="22"/>
  <c r="F58" i="22" l="1"/>
  <c r="F43" i="22"/>
  <c r="R113" i="22"/>
  <c r="Q69" i="22"/>
  <c r="Q84" i="22" s="1"/>
  <c r="Q108" i="22"/>
  <c r="S58" i="22"/>
  <c r="S43" i="22" l="1"/>
  <c r="W58" i="22"/>
  <c r="T58" i="22"/>
  <c r="U58" i="22"/>
  <c r="P112" i="22" l="1"/>
  <c r="P109" i="22"/>
  <c r="P107" i="22"/>
  <c r="P113" i="22" s="1"/>
  <c r="P95" i="22"/>
  <c r="P88" i="22"/>
  <c r="P102" i="22" s="1"/>
  <c r="P83" i="22"/>
  <c r="P122" i="22" s="1"/>
  <c r="P81" i="22"/>
  <c r="P73" i="22"/>
  <c r="P71" i="22"/>
  <c r="P70" i="22"/>
  <c r="P33" i="22"/>
  <c r="P18" i="22"/>
  <c r="P14" i="22"/>
  <c r="P9" i="22"/>
  <c r="P48" i="22" l="1"/>
  <c r="P117" i="22" s="1"/>
  <c r="P69" i="22"/>
  <c r="P84" i="22" s="1"/>
  <c r="P82" i="22" s="1"/>
  <c r="P79" i="22" s="1"/>
  <c r="P111" i="22"/>
  <c r="P115" i="22" s="1"/>
  <c r="F106" i="22"/>
  <c r="E73" i="22"/>
  <c r="W43" i="22"/>
  <c r="P119" i="22" l="1"/>
  <c r="P125" i="22"/>
  <c r="P86" i="22"/>
  <c r="P123" i="22"/>
  <c r="P121" i="22" s="1"/>
  <c r="W106" i="22"/>
  <c r="T106" i="22"/>
  <c r="S106" i="22"/>
  <c r="E95" i="22"/>
  <c r="R69" i="22" l="1"/>
  <c r="F76" i="22"/>
  <c r="S76" i="22" s="1"/>
  <c r="T76" i="22" l="1"/>
  <c r="U76" i="22"/>
  <c r="W76" i="22"/>
  <c r="E69" i="22"/>
  <c r="O107" i="22" l="1"/>
  <c r="O113" i="22" s="1"/>
  <c r="O112" i="22"/>
  <c r="O95" i="22"/>
  <c r="O88" i="22"/>
  <c r="O102" i="22" s="1"/>
  <c r="O83" i="22"/>
  <c r="O122" i="22" s="1"/>
  <c r="O81" i="22"/>
  <c r="O74" i="22"/>
  <c r="O69" i="22" s="1"/>
  <c r="O84" i="22" s="1"/>
  <c r="O33" i="22"/>
  <c r="O18" i="22"/>
  <c r="O14" i="22"/>
  <c r="O9" i="22"/>
  <c r="F68" i="22"/>
  <c r="V83" i="22"/>
  <c r="O82" i="22" l="1"/>
  <c r="O79" i="22" s="1"/>
  <c r="O48" i="22"/>
  <c r="O117" i="22" s="1"/>
  <c r="O111" i="22"/>
  <c r="O119" i="22" s="1"/>
  <c r="O123" i="22"/>
  <c r="O121" i="22" s="1"/>
  <c r="S68" i="22"/>
  <c r="W68" i="22"/>
  <c r="O125" i="22" l="1"/>
  <c r="O135" i="22" s="1"/>
  <c r="O86" i="22"/>
  <c r="O115" i="22"/>
  <c r="R83" i="22"/>
  <c r="Q107" i="22"/>
  <c r="Q83" i="22"/>
  <c r="F77" i="22"/>
  <c r="E83" i="22" l="1"/>
  <c r="F65" i="22"/>
  <c r="F66" i="22"/>
  <c r="F67" i="22"/>
  <c r="W67" i="22" s="1"/>
  <c r="F49" i="22"/>
  <c r="A65" i="22"/>
  <c r="A66" i="22" s="1"/>
  <c r="A67" i="22" s="1"/>
  <c r="A68" i="22" s="1"/>
  <c r="A69" i="22" s="1"/>
  <c r="A50" i="22"/>
  <c r="A51" i="22" s="1"/>
  <c r="A52" i="22" s="1"/>
  <c r="A53" i="22" s="1"/>
  <c r="A54" i="22" s="1"/>
  <c r="A55" i="22" s="1"/>
  <c r="A56" i="22" s="1"/>
  <c r="E25" i="22"/>
  <c r="E22" i="22"/>
  <c r="E21" i="22"/>
  <c r="E20" i="22"/>
  <c r="V69" i="22"/>
  <c r="V84" i="22" s="1"/>
  <c r="W77" i="22"/>
  <c r="A57" i="22" l="1"/>
  <c r="A58" i="22" s="1"/>
  <c r="A59" i="22" s="1"/>
  <c r="A60" i="22" s="1"/>
  <c r="S67" i="22"/>
  <c r="W65" i="22"/>
  <c r="U49" i="22"/>
  <c r="S49" i="22"/>
  <c r="W49" i="22"/>
  <c r="T49" i="22"/>
  <c r="N113" i="22"/>
  <c r="N112" i="22"/>
  <c r="N95" i="22"/>
  <c r="N88" i="22"/>
  <c r="N102" i="22" s="1"/>
  <c r="N83" i="22"/>
  <c r="N81" i="22"/>
  <c r="N71" i="22"/>
  <c r="N70" i="22"/>
  <c r="N69" i="22" s="1"/>
  <c r="N84" i="22" s="1"/>
  <c r="N33" i="22"/>
  <c r="N18" i="22"/>
  <c r="N14" i="22"/>
  <c r="N9" i="22"/>
  <c r="N48" i="22" l="1"/>
  <c r="N117" i="22" s="1"/>
  <c r="N111" i="22"/>
  <c r="N115" i="22" s="1"/>
  <c r="N123" i="22"/>
  <c r="N82" i="22"/>
  <c r="N79" i="22" s="1"/>
  <c r="N122" i="22"/>
  <c r="N121" i="22" s="1"/>
  <c r="F54" i="22"/>
  <c r="F55" i="22"/>
  <c r="F56" i="22"/>
  <c r="M113" i="22"/>
  <c r="M112" i="22"/>
  <c r="M95" i="22"/>
  <c r="M88" i="22"/>
  <c r="M102" i="22" s="1"/>
  <c r="M83" i="22"/>
  <c r="M81" i="22"/>
  <c r="M69" i="22"/>
  <c r="M84" i="22" s="1"/>
  <c r="M82" i="22" s="1"/>
  <c r="M33" i="22"/>
  <c r="M18" i="22"/>
  <c r="M14" i="22"/>
  <c r="M9" i="22"/>
  <c r="N119" i="22" l="1"/>
  <c r="M122" i="22"/>
  <c r="S55" i="22"/>
  <c r="X55" i="22"/>
  <c r="U55" i="22"/>
  <c r="T55" i="22"/>
  <c r="W55" i="22"/>
  <c r="W54" i="22"/>
  <c r="T54" i="22"/>
  <c r="X54" i="22"/>
  <c r="U54" i="22"/>
  <c r="S56" i="22"/>
  <c r="X56" i="22"/>
  <c r="U56" i="22"/>
  <c r="W56" i="22"/>
  <c r="T56" i="22"/>
  <c r="M111" i="22"/>
  <c r="M115" i="22" s="1"/>
  <c r="M123" i="22"/>
  <c r="N125" i="22"/>
  <c r="N135" i="22" s="1"/>
  <c r="N86" i="22"/>
  <c r="S54" i="22"/>
  <c r="M79" i="22"/>
  <c r="M48" i="22"/>
  <c r="F109" i="22"/>
  <c r="F108" i="22"/>
  <c r="E107" i="22"/>
  <c r="E113" i="22" s="1"/>
  <c r="M121" i="22" l="1"/>
  <c r="W108" i="22"/>
  <c r="T108" i="22"/>
  <c r="U108" i="22"/>
  <c r="S109" i="22"/>
  <c r="U109" i="22"/>
  <c r="T109" i="22"/>
  <c r="M117" i="22"/>
  <c r="M86" i="22"/>
  <c r="M119" i="22"/>
  <c r="S108" i="22"/>
  <c r="W109" i="22"/>
  <c r="M125" i="22" l="1"/>
  <c r="M135" i="22" s="1"/>
  <c r="H113" i="22"/>
  <c r="I113" i="22"/>
  <c r="J113" i="22"/>
  <c r="K113" i="22"/>
  <c r="L113" i="22"/>
  <c r="Q113" i="22"/>
  <c r="G113" i="22"/>
  <c r="D113" i="22"/>
  <c r="F113" i="22" l="1"/>
  <c r="F15" i="22"/>
  <c r="F13" i="22"/>
  <c r="F12" i="22"/>
  <c r="F11" i="22"/>
  <c r="F10" i="22"/>
  <c r="F8" i="22"/>
  <c r="F7" i="22"/>
  <c r="L112" i="22"/>
  <c r="L111" i="22" s="1"/>
  <c r="L95" i="22"/>
  <c r="L88" i="22"/>
  <c r="L102" i="22" s="1"/>
  <c r="L83" i="22"/>
  <c r="L81" i="22"/>
  <c r="L69" i="22"/>
  <c r="L33" i="22"/>
  <c r="L18" i="22"/>
  <c r="L14" i="22"/>
  <c r="L9" i="22"/>
  <c r="L84" i="22" l="1"/>
  <c r="L123" i="22" s="1"/>
  <c r="L48" i="22"/>
  <c r="L117" i="22" s="1"/>
  <c r="L82" i="22"/>
  <c r="L79" i="22" s="1"/>
  <c r="L119" i="22" s="1"/>
  <c r="L122" i="22"/>
  <c r="L115" i="22"/>
  <c r="L121" i="22" l="1"/>
  <c r="L125" i="22"/>
  <c r="L135" i="22" s="1"/>
  <c r="L86" i="22"/>
  <c r="F100" i="22"/>
  <c r="S100" i="22" s="1"/>
  <c r="F105" i="22"/>
  <c r="X105" i="22" l="1"/>
  <c r="U105" i="22"/>
  <c r="T105" i="22"/>
  <c r="S105" i="22"/>
  <c r="E41" i="22"/>
  <c r="E27" i="22"/>
  <c r="E13" i="22"/>
  <c r="E10" i="22"/>
  <c r="V113" i="22" l="1"/>
  <c r="W105" i="22"/>
  <c r="A105" i="22"/>
  <c r="V95" i="22"/>
  <c r="W100" i="22"/>
  <c r="K112" i="22" l="1"/>
  <c r="K111" i="22" s="1"/>
  <c r="K95" i="22"/>
  <c r="K88" i="22"/>
  <c r="K102" i="22" s="1"/>
  <c r="K83" i="22"/>
  <c r="K81" i="22"/>
  <c r="K71" i="22"/>
  <c r="K70" i="22"/>
  <c r="K33" i="22"/>
  <c r="K18" i="22"/>
  <c r="K14" i="22"/>
  <c r="K9" i="22"/>
  <c r="K69" i="22" l="1"/>
  <c r="K122" i="22"/>
  <c r="K48" i="22"/>
  <c r="K115" i="22"/>
  <c r="K84" i="22" l="1"/>
  <c r="K82" i="22" s="1"/>
  <c r="K79" i="22" s="1"/>
  <c r="K119" i="22" s="1"/>
  <c r="K117" i="22"/>
  <c r="K125" i="22" s="1"/>
  <c r="K135" i="22" s="1"/>
  <c r="E9" i="22"/>
  <c r="K86" i="22" l="1"/>
  <c r="K123" i="22"/>
  <c r="K121" i="22" s="1"/>
  <c r="J112" i="22"/>
  <c r="J111" i="22" s="1"/>
  <c r="J95" i="22"/>
  <c r="J88" i="22"/>
  <c r="J102" i="22" s="1"/>
  <c r="J83" i="22"/>
  <c r="J81" i="22"/>
  <c r="J69" i="22"/>
  <c r="J33" i="22"/>
  <c r="J18" i="22"/>
  <c r="J14" i="22"/>
  <c r="J9" i="22"/>
  <c r="I83" i="22"/>
  <c r="H83" i="22"/>
  <c r="G83" i="22"/>
  <c r="F52" i="22"/>
  <c r="F60" i="22"/>
  <c r="F64" i="22"/>
  <c r="W64" i="22" s="1"/>
  <c r="W60" i="22" l="1"/>
  <c r="U60" i="22"/>
  <c r="X60" i="22"/>
  <c r="T60" i="22"/>
  <c r="J84" i="22"/>
  <c r="J123" i="22" s="1"/>
  <c r="W52" i="22"/>
  <c r="T52" i="22"/>
  <c r="U52" i="22"/>
  <c r="S52" i="22"/>
  <c r="J48" i="22"/>
  <c r="J117" i="22" s="1"/>
  <c r="J122" i="22"/>
  <c r="J115" i="22"/>
  <c r="S60" i="22"/>
  <c r="J121" i="22" l="1"/>
  <c r="J82" i="22"/>
  <c r="J79" i="22" s="1"/>
  <c r="J119" i="22"/>
  <c r="J125" i="22" s="1"/>
  <c r="J135" i="22" s="1"/>
  <c r="J86" i="22"/>
  <c r="F75" i="22" l="1"/>
  <c r="D69" i="22"/>
  <c r="U75" i="22" l="1"/>
  <c r="W75" i="22"/>
  <c r="T75" i="22"/>
  <c r="S75" i="22"/>
  <c r="I112" i="22" l="1"/>
  <c r="I95" i="22"/>
  <c r="I88" i="22"/>
  <c r="I102" i="22" s="1"/>
  <c r="I81" i="22"/>
  <c r="I69" i="22"/>
  <c r="I84" i="22" s="1"/>
  <c r="I33" i="22"/>
  <c r="I18" i="22"/>
  <c r="I14" i="22"/>
  <c r="I9" i="22"/>
  <c r="I82" i="22" l="1"/>
  <c r="I79" i="22" s="1"/>
  <c r="I122" i="22"/>
  <c r="I111" i="22"/>
  <c r="I115" i="22" s="1"/>
  <c r="I123" i="22"/>
  <c r="I48" i="22"/>
  <c r="I119" i="22" l="1"/>
  <c r="I121" i="22"/>
  <c r="I117" i="22"/>
  <c r="I86" i="22"/>
  <c r="F44" i="22"/>
  <c r="F32" i="22"/>
  <c r="H112" i="22"/>
  <c r="H95" i="22"/>
  <c r="H88" i="22"/>
  <c r="H102" i="22" s="1"/>
  <c r="H81" i="22"/>
  <c r="H69" i="22"/>
  <c r="H33" i="22"/>
  <c r="H18" i="22"/>
  <c r="H14" i="22"/>
  <c r="H9" i="22"/>
  <c r="F107" i="22"/>
  <c r="F73" i="22"/>
  <c r="W107" i="22" l="1"/>
  <c r="T107" i="22"/>
  <c r="U107" i="22"/>
  <c r="H84" i="22"/>
  <c r="H82" i="22" s="1"/>
  <c r="H79" i="22" s="1"/>
  <c r="S73" i="22"/>
  <c r="X73" i="22"/>
  <c r="I125" i="22"/>
  <c r="I135" i="22" s="1"/>
  <c r="U32" i="22"/>
  <c r="T32" i="22"/>
  <c r="H111" i="22"/>
  <c r="H122" i="22"/>
  <c r="S107" i="22"/>
  <c r="W44" i="22"/>
  <c r="W73" i="22"/>
  <c r="S44" i="22"/>
  <c r="U73" i="22"/>
  <c r="W32" i="22"/>
  <c r="H48" i="22"/>
  <c r="H117" i="22" s="1"/>
  <c r="T73" i="22"/>
  <c r="S32" i="22"/>
  <c r="H123" i="22" l="1"/>
  <c r="H121" i="22" s="1"/>
  <c r="H119" i="22"/>
  <c r="H125" i="22" s="1"/>
  <c r="H135" i="22" s="1"/>
  <c r="H115" i="22"/>
  <c r="H86" i="22"/>
  <c r="A25" i="22" l="1"/>
  <c r="R112" i="22" l="1"/>
  <c r="R111" i="22" s="1"/>
  <c r="V9" i="22" l="1"/>
  <c r="R9" i="22"/>
  <c r="Q9" i="22"/>
  <c r="G9" i="22"/>
  <c r="Q33" i="22"/>
  <c r="Q18" i="22"/>
  <c r="Q14" i="22"/>
  <c r="Q123" i="22"/>
  <c r="Q81" i="22"/>
  <c r="Q88" i="22"/>
  <c r="Q102" i="22" s="1"/>
  <c r="Q95" i="22"/>
  <c r="Q112" i="22"/>
  <c r="F104" i="22"/>
  <c r="F101" i="22"/>
  <c r="F99" i="22"/>
  <c r="F98" i="22"/>
  <c r="T98" i="22" s="1"/>
  <c r="F97" i="22"/>
  <c r="F96" i="22"/>
  <c r="F94" i="22"/>
  <c r="X94" i="22" s="1"/>
  <c r="F93" i="22"/>
  <c r="X93" i="22" s="1"/>
  <c r="F92" i="22"/>
  <c r="F91" i="22"/>
  <c r="F90" i="22"/>
  <c r="F89" i="22"/>
  <c r="F74" i="22"/>
  <c r="F72" i="22"/>
  <c r="X72" i="22" s="1"/>
  <c r="F71" i="22"/>
  <c r="X71" i="22" s="1"/>
  <c r="F70" i="22"/>
  <c r="X70" i="22" s="1"/>
  <c r="X66" i="22"/>
  <c r="F63" i="22"/>
  <c r="F62" i="22"/>
  <c r="F59" i="22"/>
  <c r="X59" i="22" s="1"/>
  <c r="F57" i="22"/>
  <c r="F53" i="22"/>
  <c r="F51" i="22"/>
  <c r="F50" i="22"/>
  <c r="F47" i="22"/>
  <c r="F46" i="22"/>
  <c r="X46" i="22" s="1"/>
  <c r="F45" i="22"/>
  <c r="F42" i="22"/>
  <c r="F41" i="22"/>
  <c r="T41" i="22" s="1"/>
  <c r="F40" i="22"/>
  <c r="T40" i="22" s="1"/>
  <c r="F39" i="22"/>
  <c r="F38" i="22"/>
  <c r="F37" i="22"/>
  <c r="F36" i="22"/>
  <c r="F35" i="22"/>
  <c r="F34" i="22"/>
  <c r="F31" i="22"/>
  <c r="F30" i="22"/>
  <c r="F29" i="22"/>
  <c r="F28" i="22"/>
  <c r="F27" i="22"/>
  <c r="F26" i="22"/>
  <c r="F25" i="22"/>
  <c r="X25" i="22" s="1"/>
  <c r="F24" i="22"/>
  <c r="F23" i="22"/>
  <c r="F22" i="22"/>
  <c r="F21" i="22"/>
  <c r="F20" i="22"/>
  <c r="F19" i="22"/>
  <c r="F17" i="22"/>
  <c r="F16" i="22"/>
  <c r="T28" i="22" l="1"/>
  <c r="X28" i="22"/>
  <c r="Q48" i="22"/>
  <c r="X104" i="22"/>
  <c r="T104" i="22"/>
  <c r="X113" i="22"/>
  <c r="U113" i="22"/>
  <c r="T113" i="22"/>
  <c r="F9" i="22"/>
  <c r="X96" i="22"/>
  <c r="T96" i="22"/>
  <c r="T92" i="22"/>
  <c r="X92" i="22"/>
  <c r="U40" i="22"/>
  <c r="U10" i="22"/>
  <c r="W10" i="22"/>
  <c r="T10" i="22"/>
  <c r="T97" i="22"/>
  <c r="U97" i="22"/>
  <c r="T27" i="22"/>
  <c r="X27" i="22"/>
  <c r="X15" i="22"/>
  <c r="T15" i="22"/>
  <c r="X16" i="22"/>
  <c r="T16" i="22"/>
  <c r="S24" i="22"/>
  <c r="X11" i="22"/>
  <c r="T11" i="22"/>
  <c r="T13" i="22"/>
  <c r="X13" i="22"/>
  <c r="S10" i="22"/>
  <c r="Q122" i="22"/>
  <c r="Q121" i="22" s="1"/>
  <c r="Q82" i="22"/>
  <c r="Q111" i="22"/>
  <c r="Q115" i="22" s="1"/>
  <c r="W24" i="22"/>
  <c r="Q117" i="22" l="1"/>
  <c r="Q79" i="22"/>
  <c r="V18" i="22"/>
  <c r="W66" i="22"/>
  <c r="R18" i="22"/>
  <c r="G18" i="22"/>
  <c r="F18" i="22" s="1"/>
  <c r="G112" i="22"/>
  <c r="F112" i="22" s="1"/>
  <c r="T112" i="22" s="1"/>
  <c r="E112" i="22"/>
  <c r="E111" i="22" s="1"/>
  <c r="R81" i="22"/>
  <c r="F83" i="22"/>
  <c r="G81" i="22"/>
  <c r="F81" i="22" s="1"/>
  <c r="E81" i="22"/>
  <c r="G69" i="22"/>
  <c r="E33" i="22"/>
  <c r="E18" i="22"/>
  <c r="E14" i="22"/>
  <c r="F69" i="22" l="1"/>
  <c r="G111" i="22"/>
  <c r="F111" i="22" s="1"/>
  <c r="E48" i="22"/>
  <c r="Q86" i="22"/>
  <c r="Q119" i="22"/>
  <c r="G122" i="22"/>
  <c r="F122" i="22" s="1"/>
  <c r="T66" i="22"/>
  <c r="U66" i="22"/>
  <c r="S66" i="22"/>
  <c r="R122" i="22"/>
  <c r="Q125" i="22" l="1"/>
  <c r="Q135" i="22" s="1"/>
  <c r="D61" i="22" l="1"/>
  <c r="D84" i="22" s="1"/>
  <c r="G61" i="22"/>
  <c r="R61" i="22"/>
  <c r="R84" i="22" s="1"/>
  <c r="S62" i="22"/>
  <c r="E63" i="22"/>
  <c r="AA63" i="22"/>
  <c r="D21" i="22"/>
  <c r="D19" i="22"/>
  <c r="F61" i="22" l="1"/>
  <c r="G84" i="22"/>
  <c r="F84" i="22" s="1"/>
  <c r="E61" i="22"/>
  <c r="E84" i="22" s="1"/>
  <c r="W61" i="22"/>
  <c r="S63" i="22"/>
  <c r="W62" i="22"/>
  <c r="W63" i="22"/>
  <c r="D18" i="22"/>
  <c r="E82" i="22" l="1"/>
  <c r="E79" i="22" s="1"/>
  <c r="E86" i="22" s="1"/>
  <c r="R82" i="22"/>
  <c r="R79" i="22" s="1"/>
  <c r="R119" i="22" s="1"/>
  <c r="R123" i="22"/>
  <c r="R121" i="22" s="1"/>
  <c r="S61" i="22"/>
  <c r="G82" i="22"/>
  <c r="G123" i="22"/>
  <c r="G79" i="22" l="1"/>
  <c r="F82" i="22"/>
  <c r="G121" i="22"/>
  <c r="F121" i="22" s="1"/>
  <c r="F123" i="22"/>
  <c r="V112" i="22"/>
  <c r="X112" i="22" s="1"/>
  <c r="V88" i="22"/>
  <c r="V102" i="22" s="1"/>
  <c r="V81" i="22"/>
  <c r="V33" i="22"/>
  <c r="V14" i="22"/>
  <c r="V48" i="22" s="1"/>
  <c r="G119" i="22" l="1"/>
  <c r="F119" i="22" s="1"/>
  <c r="F79" i="22"/>
  <c r="V123" i="22"/>
  <c r="V111" i="22"/>
  <c r="V82" i="22"/>
  <c r="V79" i="22" s="1"/>
  <c r="V122" i="22"/>
  <c r="Y18" i="22"/>
  <c r="Y15" i="22"/>
  <c r="V115" i="22" l="1"/>
  <c r="Z115" i="22" s="1"/>
  <c r="X111" i="22"/>
  <c r="V86" i="22"/>
  <c r="V121" i="22"/>
  <c r="V119" i="22"/>
  <c r="V125" i="22" l="1"/>
  <c r="D112" i="22"/>
  <c r="D111" i="22" s="1"/>
  <c r="S99" i="22"/>
  <c r="S98" i="22"/>
  <c r="R95" i="22"/>
  <c r="G95" i="22"/>
  <c r="F95" i="22" s="1"/>
  <c r="D95" i="22"/>
  <c r="S93" i="22"/>
  <c r="S91" i="22"/>
  <c r="A92" i="22"/>
  <c r="A93" i="22" s="1"/>
  <c r="A94" i="22" s="1"/>
  <c r="A95" i="22" s="1"/>
  <c r="X90" i="22"/>
  <c r="W89" i="22"/>
  <c r="R88" i="22"/>
  <c r="R102" i="22" s="1"/>
  <c r="G88" i="22"/>
  <c r="F88" i="22" s="1"/>
  <c r="D88" i="22"/>
  <c r="D102" i="22" s="1"/>
  <c r="D83" i="22"/>
  <c r="D81" i="22"/>
  <c r="W72" i="22"/>
  <c r="S71" i="22"/>
  <c r="W70" i="22"/>
  <c r="Z69" i="22"/>
  <c r="S59" i="22"/>
  <c r="T57" i="22"/>
  <c r="S53" i="22"/>
  <c r="T50" i="22"/>
  <c r="U46" i="22"/>
  <c r="U42" i="22"/>
  <c r="W41" i="22"/>
  <c r="W40" i="22"/>
  <c r="T39" i="22"/>
  <c r="A39" i="22"/>
  <c r="A40" i="22" s="1"/>
  <c r="A41" i="22" s="1"/>
  <c r="A42" i="22" s="1"/>
  <c r="A43" i="22" s="1"/>
  <c r="A44" i="22" s="1"/>
  <c r="A45" i="22" s="1"/>
  <c r="A46" i="22" s="1"/>
  <c r="A47" i="22" s="1"/>
  <c r="S38" i="22"/>
  <c r="T36" i="22"/>
  <c r="U35" i="22"/>
  <c r="X34" i="22"/>
  <c r="Y34" i="22" s="1"/>
  <c r="R33" i="22"/>
  <c r="G33" i="22"/>
  <c r="F33" i="22" s="1"/>
  <c r="D33" i="22"/>
  <c r="X31" i="22"/>
  <c r="U26" i="22"/>
  <c r="T25" i="22"/>
  <c r="A26" i="22"/>
  <c r="A27" i="22" s="1"/>
  <c r="A28" i="22" s="1"/>
  <c r="A29" i="22" s="1"/>
  <c r="A30" i="22" s="1"/>
  <c r="A31" i="22" s="1"/>
  <c r="A32" i="22" s="1"/>
  <c r="A33" i="22" s="1"/>
  <c r="T23" i="22"/>
  <c r="U22" i="22"/>
  <c r="X21" i="22"/>
  <c r="Y21" i="22" s="1"/>
  <c r="R14" i="22"/>
  <c r="G14" i="22"/>
  <c r="D14" i="22"/>
  <c r="D9" i="22"/>
  <c r="AA8" i="22"/>
  <c r="AB8" i="22" s="1"/>
  <c r="X8" i="22"/>
  <c r="A8" i="22"/>
  <c r="AB7" i="22"/>
  <c r="AA7" i="22"/>
  <c r="C5" i="22"/>
  <c r="D5" i="22" s="1"/>
  <c r="E5" i="22" s="1"/>
  <c r="F5" i="22" s="1"/>
  <c r="G5" i="22" s="1"/>
  <c r="H5" i="22" s="1"/>
  <c r="I5" i="22" s="1"/>
  <c r="J5" i="22" s="1"/>
  <c r="K5" i="22" s="1"/>
  <c r="L5" i="22" s="1"/>
  <c r="M5" i="22" l="1"/>
  <c r="N5" i="22" s="1"/>
  <c r="R48" i="22"/>
  <c r="F14" i="22"/>
  <c r="X14" i="22" s="1"/>
  <c r="G48" i="22"/>
  <c r="F48" i="22" s="1"/>
  <c r="D122" i="22"/>
  <c r="R115" i="22"/>
  <c r="U7" i="22"/>
  <c r="S7" i="22"/>
  <c r="S9" i="22"/>
  <c r="D48" i="22"/>
  <c r="D117" i="22" s="1"/>
  <c r="S90" i="22"/>
  <c r="W90" i="22"/>
  <c r="U92" i="22"/>
  <c r="T21" i="22"/>
  <c r="X91" i="22"/>
  <c r="U20" i="22"/>
  <c r="X50" i="22"/>
  <c r="W21" i="22"/>
  <c r="AA23" i="22"/>
  <c r="U96" i="22"/>
  <c r="T22" i="22"/>
  <c r="X89" i="22"/>
  <c r="T91" i="22"/>
  <c r="S21" i="22"/>
  <c r="U34" i="22"/>
  <c r="U50" i="22"/>
  <c r="W91" i="22"/>
  <c r="U38" i="22"/>
  <c r="S70" i="22"/>
  <c r="U13" i="22"/>
  <c r="X38" i="22"/>
  <c r="W57" i="22"/>
  <c r="T70" i="22"/>
  <c r="S13" i="22"/>
  <c r="W13" i="22"/>
  <c r="X23" i="22"/>
  <c r="T38" i="22"/>
  <c r="U71" i="22"/>
  <c r="S26" i="22"/>
  <c r="X26" i="22"/>
  <c r="S35" i="22"/>
  <c r="S40" i="22"/>
  <c r="X57" i="22"/>
  <c r="S34" i="22"/>
  <c r="S23" i="22"/>
  <c r="T34" i="22"/>
  <c r="S42" i="22"/>
  <c r="S51" i="22"/>
  <c r="X81" i="22"/>
  <c r="Z15" i="22"/>
  <c r="U21" i="22"/>
  <c r="U25" i="22"/>
  <c r="X39" i="22"/>
  <c r="Y39" i="22" s="1"/>
  <c r="U41" i="22"/>
  <c r="E88" i="22"/>
  <c r="S96" i="22"/>
  <c r="S57" i="22"/>
  <c r="W39" i="22"/>
  <c r="X51" i="22"/>
  <c r="U104" i="22"/>
  <c r="Z18" i="22"/>
  <c r="U29" i="22"/>
  <c r="W98" i="22"/>
  <c r="W35" i="22"/>
  <c r="U30" i="22"/>
  <c r="W26" i="22"/>
  <c r="X35" i="22"/>
  <c r="Y35" i="22" s="1"/>
  <c r="S39" i="22"/>
  <c r="T26" i="22"/>
  <c r="T35" i="22"/>
  <c r="U37" i="22"/>
  <c r="W51" i="22"/>
  <c r="U59" i="22"/>
  <c r="U93" i="22"/>
  <c r="W96" i="22"/>
  <c r="S101" i="22"/>
  <c r="AC48" i="22"/>
  <c r="X33" i="22"/>
  <c r="T33" i="22"/>
  <c r="S33" i="22"/>
  <c r="W33" i="22"/>
  <c r="X95" i="22"/>
  <c r="T95" i="22"/>
  <c r="S95" i="22"/>
  <c r="W95" i="22"/>
  <c r="S18" i="22"/>
  <c r="W18" i="22"/>
  <c r="T18" i="22"/>
  <c r="X18" i="22"/>
  <c r="Z48" i="22"/>
  <c r="AA46" i="22"/>
  <c r="X30" i="22"/>
  <c r="U45" i="22"/>
  <c r="W12" i="22"/>
  <c r="W17" i="22"/>
  <c r="W7" i="22"/>
  <c r="U8" i="22"/>
  <c r="T12" i="22"/>
  <c r="X12" i="22"/>
  <c r="X29" i="22"/>
  <c r="Y29" i="22" s="1"/>
  <c r="U31" i="22"/>
  <c r="X7" i="22"/>
  <c r="S8" i="22"/>
  <c r="W8" i="22"/>
  <c r="S11" i="22"/>
  <c r="W11" i="22"/>
  <c r="W15" i="22"/>
  <c r="S16" i="22"/>
  <c r="W20" i="22"/>
  <c r="AA21" i="22"/>
  <c r="T29" i="22"/>
  <c r="S31" i="22"/>
  <c r="T37" i="22"/>
  <c r="S41" i="22"/>
  <c r="W46" i="22"/>
  <c r="S47" i="22"/>
  <c r="S72" i="22"/>
  <c r="U72" i="22"/>
  <c r="U94" i="22"/>
  <c r="S94" i="22"/>
  <c r="W94" i="22"/>
  <c r="T20" i="22"/>
  <c r="W23" i="22"/>
  <c r="W27" i="22"/>
  <c r="S27" i="22"/>
  <c r="U28" i="22"/>
  <c r="W36" i="22"/>
  <c r="S36" i="22"/>
  <c r="X36" i="22"/>
  <c r="X53" i="22"/>
  <c r="U12" i="22"/>
  <c r="W30" i="22"/>
  <c r="S30" i="22"/>
  <c r="S12" i="22"/>
  <c r="X19" i="22"/>
  <c r="T19" i="22"/>
  <c r="S28" i="22"/>
  <c r="T30" i="22"/>
  <c r="W37" i="22"/>
  <c r="X45" i="22"/>
  <c r="T45" i="22"/>
  <c r="W45" i="22"/>
  <c r="U47" i="22"/>
  <c r="U57" i="22"/>
  <c r="W59" i="22"/>
  <c r="W97" i="22"/>
  <c r="S97" i="22"/>
  <c r="X17" i="22"/>
  <c r="S19" i="22"/>
  <c r="U39" i="22"/>
  <c r="W81" i="22"/>
  <c r="S81" i="22"/>
  <c r="U17" i="22"/>
  <c r="W28" i="22"/>
  <c r="S17" i="22"/>
  <c r="U11" i="22"/>
  <c r="U15" i="22"/>
  <c r="T17" i="22"/>
  <c r="X37" i="22"/>
  <c r="S45" i="22"/>
  <c r="T7" i="22"/>
  <c r="W16" i="22"/>
  <c r="U19" i="22"/>
  <c r="W19" i="22"/>
  <c r="U16" i="22"/>
  <c r="W29" i="22"/>
  <c r="S29" i="22"/>
  <c r="S37" i="22"/>
  <c r="W47" i="22"/>
  <c r="T59" i="22"/>
  <c r="S15" i="22"/>
  <c r="W25" i="22"/>
  <c r="W31" i="22"/>
  <c r="S89" i="22"/>
  <c r="U89" i="22"/>
  <c r="T89" i="22"/>
  <c r="D115" i="22"/>
  <c r="T8" i="22"/>
  <c r="S20" i="22"/>
  <c r="X20" i="22"/>
  <c r="W22" i="22"/>
  <c r="S22" i="22"/>
  <c r="X22" i="22"/>
  <c r="U23" i="22"/>
  <c r="S25" i="22"/>
  <c r="Y25" i="22"/>
  <c r="U27" i="22"/>
  <c r="T31" i="22"/>
  <c r="W34" i="22"/>
  <c r="U36" i="22"/>
  <c r="W38" i="22"/>
  <c r="X42" i="22"/>
  <c r="T42" i="22"/>
  <c r="W42" i="22"/>
  <c r="S46" i="22"/>
  <c r="W50" i="22"/>
  <c r="S50" i="22"/>
  <c r="W53" i="22"/>
  <c r="T72" i="22"/>
  <c r="W92" i="22"/>
  <c r="S92" i="22"/>
  <c r="T94" i="22"/>
  <c r="X97" i="22"/>
  <c r="X99" i="22"/>
  <c r="T99" i="22"/>
  <c r="U99" i="22"/>
  <c r="W99" i="22"/>
  <c r="U70" i="22"/>
  <c r="G102" i="22"/>
  <c r="U95" i="22"/>
  <c r="T71" i="22"/>
  <c r="W71" i="22"/>
  <c r="U91" i="22"/>
  <c r="E122" i="22"/>
  <c r="T93" i="22"/>
  <c r="W93" i="22"/>
  <c r="W104" i="22"/>
  <c r="S104" i="22"/>
  <c r="X101" i="22"/>
  <c r="T101" i="22"/>
  <c r="U101" i="22"/>
  <c r="W101" i="22"/>
  <c r="U98" i="22"/>
  <c r="X98" i="22"/>
  <c r="O5" i="22" l="1"/>
  <c r="T14" i="22"/>
  <c r="W14" i="22"/>
  <c r="U14" i="22"/>
  <c r="S14" i="22"/>
  <c r="E102" i="22"/>
  <c r="G115" i="22"/>
  <c r="F102" i="22"/>
  <c r="T102" i="22" s="1"/>
  <c r="G86" i="22"/>
  <c r="F86" i="22" s="1"/>
  <c r="X9" i="22"/>
  <c r="W9" i="22"/>
  <c r="G117" i="22"/>
  <c r="T9" i="22"/>
  <c r="R86" i="22"/>
  <c r="R117" i="22"/>
  <c r="R125" i="22" s="1"/>
  <c r="R135" i="22" s="1"/>
  <c r="U33" i="22"/>
  <c r="U18" i="22"/>
  <c r="U9" i="22"/>
  <c r="S112" i="22"/>
  <c r="U112" i="22"/>
  <c r="W112" i="22"/>
  <c r="D123" i="22"/>
  <c r="D121" i="22" s="1"/>
  <c r="D82" i="22"/>
  <c r="D79" i="22" s="1"/>
  <c r="S74" i="22"/>
  <c r="T74" i="22"/>
  <c r="U74" i="22"/>
  <c r="W74" i="22"/>
  <c r="Z86" i="22"/>
  <c r="U69" i="22"/>
  <c r="X69" i="22"/>
  <c r="T69" i="22"/>
  <c r="W69" i="22"/>
  <c r="S69" i="22"/>
  <c r="U48" i="22"/>
  <c r="U83" i="22"/>
  <c r="T83" i="22"/>
  <c r="S83" i="22"/>
  <c r="W83" i="22"/>
  <c r="X83" i="22"/>
  <c r="W48" i="22"/>
  <c r="S48" i="22"/>
  <c r="Z46" i="22"/>
  <c r="AB46" i="22" s="1"/>
  <c r="X48" i="22"/>
  <c r="T48" i="22"/>
  <c r="W88" i="22"/>
  <c r="T88" i="22"/>
  <c r="X88" i="22"/>
  <c r="S88" i="22"/>
  <c r="U88" i="22"/>
  <c r="T111" i="22"/>
  <c r="P5" i="22" l="1"/>
  <c r="Q5" i="22" s="1"/>
  <c r="S5" i="22" s="1"/>
  <c r="T5" i="22" s="1"/>
  <c r="F115" i="22"/>
  <c r="G125" i="22"/>
  <c r="F117" i="22"/>
  <c r="S117" i="22" s="1"/>
  <c r="W113" i="22"/>
  <c r="S113" i="22"/>
  <c r="S122" i="22"/>
  <c r="X122" i="22"/>
  <c r="W122" i="22"/>
  <c r="U122" i="22"/>
  <c r="T122" i="22"/>
  <c r="D119" i="22"/>
  <c r="D125" i="22" s="1"/>
  <c r="D135" i="22" s="1"/>
  <c r="D86" i="22"/>
  <c r="E117" i="22"/>
  <c r="S111" i="22"/>
  <c r="W111" i="22"/>
  <c r="X102" i="22"/>
  <c r="U102" i="22"/>
  <c r="S102" i="22"/>
  <c r="W102" i="22"/>
  <c r="U5" i="22" l="1"/>
  <c r="V5" i="22" s="1"/>
  <c r="W5" i="22" s="1"/>
  <c r="X5" i="22" s="1"/>
  <c r="F125" i="22"/>
  <c r="G135" i="22"/>
  <c r="U117" i="22"/>
  <c r="W117" i="22"/>
  <c r="X117" i="22"/>
  <c r="T117" i="22"/>
  <c r="E123" i="22"/>
  <c r="E121" i="22" s="1"/>
  <c r="S123" i="22"/>
  <c r="W123" i="22"/>
  <c r="X123" i="22"/>
  <c r="T123" i="22"/>
  <c r="W84" i="22"/>
  <c r="S84" i="22"/>
  <c r="X84" i="22"/>
  <c r="T84" i="22"/>
  <c r="U84" i="22"/>
  <c r="F135" i="22" l="1"/>
  <c r="U123" i="22"/>
  <c r="X82" i="22"/>
  <c r="T82" i="22"/>
  <c r="U82" i="22"/>
  <c r="W82" i="22"/>
  <c r="S82" i="22"/>
  <c r="E119" i="22"/>
  <c r="E125" i="22" s="1"/>
  <c r="E115" i="22"/>
  <c r="U111" i="22"/>
  <c r="X115" i="22"/>
  <c r="T115" i="22"/>
  <c r="W115" i="22"/>
  <c r="S115" i="22"/>
  <c r="S121" i="22"/>
  <c r="X121" i="22"/>
  <c r="T121" i="22"/>
  <c r="U121" i="22"/>
  <c r="W121" i="22"/>
  <c r="E135" i="22" l="1"/>
  <c r="T79" i="22"/>
  <c r="W79" i="22"/>
  <c r="X79" i="22"/>
  <c r="U79" i="22"/>
  <c r="S79" i="22"/>
  <c r="S119" i="22"/>
  <c r="U119" i="22"/>
  <c r="W119" i="22"/>
  <c r="T119" i="22"/>
  <c r="X119" i="22"/>
  <c r="U115" i="22"/>
  <c r="S125" i="22" l="1"/>
  <c r="W125" i="22"/>
  <c r="X125" i="22"/>
  <c r="U125" i="22"/>
  <c r="T125" i="22"/>
  <c r="T86" i="22"/>
  <c r="U86" i="22"/>
  <c r="X86" i="22"/>
  <c r="W86" i="22"/>
  <c r="S86" i="22"/>
  <c r="Z125" i="22" l="1"/>
</calcChain>
</file>

<file path=xl/sharedStrings.xml><?xml version="1.0" encoding="utf-8"?>
<sst xmlns="http://schemas.openxmlformats.org/spreadsheetml/2006/main" count="256" uniqueCount="239">
  <si>
    <t>№ п/п</t>
  </si>
  <si>
    <t>Найменування доходів</t>
  </si>
  <si>
    <t>Код бюджетної класифікації</t>
  </si>
  <si>
    <t>%</t>
  </si>
  <si>
    <t>1</t>
  </si>
  <si>
    <t>2</t>
  </si>
  <si>
    <t>ЗАГАЛЬНИЙ ФОНД</t>
  </si>
  <si>
    <t>Плата за землю</t>
  </si>
  <si>
    <t>Інші надходження</t>
  </si>
  <si>
    <t>СПЕЦІАЛЬНИЙ ФОНД</t>
  </si>
  <si>
    <t>Бюджет розвитку, в т.ч.</t>
  </si>
  <si>
    <t>Цільові фонди, утворені органами місцевого самоврядування</t>
  </si>
  <si>
    <t>Власні надходження бюджетних установ</t>
  </si>
  <si>
    <t>тис.грн.</t>
  </si>
  <si>
    <t>11010000</t>
  </si>
  <si>
    <t>22090000</t>
  </si>
  <si>
    <t>11020200</t>
  </si>
  <si>
    <t>21010300</t>
  </si>
  <si>
    <t>21080500</t>
  </si>
  <si>
    <t>22080400</t>
  </si>
  <si>
    <t>24060300</t>
  </si>
  <si>
    <t>25000000</t>
  </si>
  <si>
    <t>31030000</t>
  </si>
  <si>
    <t>50110000</t>
  </si>
  <si>
    <t>21081100</t>
  </si>
  <si>
    <t xml:space="preserve">24062100 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</si>
  <si>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</si>
  <si>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ВСЬОГО ДОХОДІВ ЗАГАЛЬНОГО ФОНДУ</t>
  </si>
  <si>
    <t>ВСЬОГО трансфертів</t>
  </si>
  <si>
    <t>Адміністративні штрафи та інші санкції</t>
  </si>
  <si>
    <t>19010000</t>
  </si>
  <si>
    <t>Екологічний податок</t>
  </si>
  <si>
    <t>Єдиний податок</t>
  </si>
  <si>
    <t>18050000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</si>
  <si>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</si>
  <si>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Податок на прибуток підприємств та фінансових установ комунальної власності</t>
  </si>
  <si>
    <t>Кошти від відчуження майна, що перебуває в комунальній власності</t>
  </si>
  <si>
    <t>18000000</t>
  </si>
  <si>
    <t>18030000</t>
  </si>
  <si>
    <t>Туристичний збір</t>
  </si>
  <si>
    <t>ВСЬОГО ДОХОДІВ ЗАГАЛЬНОГО ТА СПЕЦІАЛЬНОГО ФОНДІВ</t>
  </si>
  <si>
    <t>ВСЬОГО ДОХОДІВ СПЕЦІАЛЬНОГО ФОНДУ</t>
  </si>
  <si>
    <t>33010000</t>
  </si>
  <si>
    <t>18010000</t>
  </si>
  <si>
    <t>24170000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</si>
  <si>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</si>
  <si>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24062200</t>
  </si>
  <si>
    <t xml:space="preserve"> </t>
  </si>
  <si>
    <t>Власні і закіплені З Ф</t>
  </si>
  <si>
    <t>Власні і закіплені С Ф</t>
  </si>
  <si>
    <t>Вього СФ</t>
  </si>
  <si>
    <t>вик.: Серветник М.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</si>
  <si>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</si>
  <si>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Державне мито</t>
  </si>
  <si>
    <t>41033900</t>
  </si>
  <si>
    <t>41034200</t>
  </si>
  <si>
    <t>14040000</t>
  </si>
  <si>
    <t>Податок на нерухоме майно, відмінне від земельної ділянки</t>
  </si>
  <si>
    <t>Транспортний податок</t>
  </si>
  <si>
    <t>Плата за надання інших адміністративних послуг</t>
  </si>
  <si>
    <t>22012500</t>
  </si>
  <si>
    <t>Надходження сум кредиторської та депонентської заборгованості</t>
  </si>
  <si>
    <t>24030000</t>
  </si>
  <si>
    <t>січень</t>
  </si>
  <si>
    <t>24110700</t>
  </si>
  <si>
    <t>Податок та збір на доходи фізичних осіб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</si>
  <si>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</t>
  </si>
  <si>
    <t>24110900</t>
  </si>
  <si>
    <t>Кошти від продажу землі</t>
  </si>
  <si>
    <t>21050000</t>
  </si>
  <si>
    <t>Плата за розміщення тимчасово вільних коштів місцевих бюджетів</t>
  </si>
  <si>
    <t>41034900</t>
  </si>
  <si>
    <t>Субвенції, з них: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</si>
  <si>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</si>
  <si>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</si>
  <si>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22012600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</si>
  <si>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</si>
  <si>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пов'язаних з такою державною реєстрацією</t>
  </si>
  <si>
    <t>Адміністративний збір за державну реєстрацію речових прав на нерухоме майно та їх обтяжень</t>
  </si>
  <si>
    <t>21081500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</si>
  <si>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</si>
  <si>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22010000</t>
  </si>
  <si>
    <t>Плата за надання адміністративних послуг:</t>
  </si>
  <si>
    <t>31020000</t>
  </si>
  <si>
    <t>Надходження коштів від Державного фонду дорогоцінних металів і дорогоцінного каміння</t>
  </si>
  <si>
    <t>Надходження коштів від відшкодування втрат сільськогосподарського і лісогосподарського виробництва</t>
  </si>
  <si>
    <t>14021900</t>
  </si>
  <si>
    <t>14031900</t>
  </si>
  <si>
    <t>14000000</t>
  </si>
  <si>
    <t>Внутрішні податки на товари та послуги, в тому числі:</t>
  </si>
  <si>
    <t>* для забезпечення витратними матеріалами (кардіовиробами) хворих області в комунальному закладі "Вінницький регіональний клінічний лікувально-діагностичний центр серцево-судинної патології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</si>
  <si>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</t>
  </si>
  <si>
    <t>21080900</t>
  </si>
  <si>
    <t>Начальник відділу доходів бюджету</t>
  </si>
  <si>
    <t>Ірина Ларіна</t>
  </si>
  <si>
    <t>Акцизний податок з вироблених в Україні підакцизних товарів (продукції) (Пальне)</t>
  </si>
  <si>
    <t>Акцизний податок з ввезених на митну територію України підакцизних товарів (продукції) (Пальне)</t>
  </si>
  <si>
    <t>Акцизний податок з реалізації суб'єктами господарювання роздрібної торгівлі підакцизних товарів</t>
  </si>
  <si>
    <t>22130000</t>
  </si>
  <si>
    <t>Орендна плата за водні об'єкти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</si>
  <si>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*на цільові видатки на лікування хворих на цукровий та нецукровий діабет</t>
  </si>
  <si>
    <t>з них: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</si>
  <si>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</si>
  <si>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13010200</t>
  </si>
  <si>
    <t>41051500</t>
  </si>
  <si>
    <t>- з місцевого бюджету (ККД 41050000)</t>
  </si>
  <si>
    <t>-з державного бюджету (ККД 41030000)</t>
  </si>
  <si>
    <t>13030100</t>
  </si>
  <si>
    <t>Рентна плата та плата за використання інших природних ресурсів</t>
  </si>
  <si>
    <t>13000000</t>
  </si>
  <si>
    <t>3.1.</t>
  </si>
  <si>
    <t>3.2.</t>
  </si>
  <si>
    <t>3.3.</t>
  </si>
  <si>
    <t>Плата за встановлення земельного сервітуту</t>
  </si>
  <si>
    <t>21081700</t>
  </si>
  <si>
    <t>41040200</t>
  </si>
  <si>
    <t>41053900</t>
  </si>
  <si>
    <t>Дотації з місцевих бюджетів іншим місцевим бюджетам</t>
  </si>
  <si>
    <t xml:space="preserve">Надходження від плати за послуги, що надаються бюджетними установами згідно із законодавством </t>
  </si>
  <si>
    <t>25010000</t>
  </si>
  <si>
    <t xml:space="preserve">Інші джерела власних надходжень бюджетних установ  </t>
  </si>
  <si>
    <t>25020000</t>
  </si>
  <si>
    <t>1.1.</t>
  </si>
  <si>
    <t>1.2.</t>
  </si>
  <si>
    <t>41051000</t>
  </si>
  <si>
    <t>4.1.</t>
  </si>
  <si>
    <t>4.2.</t>
  </si>
  <si>
    <t>4.3.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</si>
  <si>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</si>
  <si>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</si>
  <si>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41055000</t>
  </si>
  <si>
    <t>6.1.</t>
  </si>
  <si>
    <t>6.2.</t>
  </si>
  <si>
    <t>6.3.</t>
  </si>
  <si>
    <t>6.4.</t>
  </si>
  <si>
    <t>Бюджет 
на 2021 рік</t>
  </si>
  <si>
    <t>Уточнений бюджет на 2021 рік</t>
  </si>
  <si>
    <t>13040100</t>
  </si>
  <si>
    <t xml:space="preserve">Рентна плата за користування надрами для видобування корисних копалин місцевого значення </t>
  </si>
  <si>
    <t xml:space="preserve">Рентна плата за користування надрами для видобування інших корисних копалин загальнодержавного значення </t>
  </si>
  <si>
    <t>Місцеві податки та збори, що сплачуються (перераховуються) згідно з податковим кодексом України</t>
  </si>
  <si>
    <t>Плата за гарантії, надані Верховною Радою Автономної Республіки Крим, міськими та обласними радами</t>
  </si>
  <si>
    <t>5.1.</t>
  </si>
  <si>
    <t>5.2.</t>
  </si>
  <si>
    <t>5.3.</t>
  </si>
  <si>
    <t>5.4.</t>
  </si>
  <si>
    <t>5.5.</t>
  </si>
  <si>
    <t>ВСЬОГО ДОХОДІВ ЗАГАЛЬНОГО 
ТА СПЕЦІАЛЬНОГО ФОНДІВ</t>
  </si>
  <si>
    <t>Податки та збори, не віднесені до інших категорій</t>
  </si>
  <si>
    <t>19090500</t>
  </si>
  <si>
    <t>лютий</t>
  </si>
  <si>
    <t>13010100</t>
  </si>
  <si>
    <t xml:space="preserve">Рентна плата за спеціальне використання лісових ресурсів в частині деревини, заготовленої в порядку рубок головного користування </t>
  </si>
  <si>
    <t>3.4.</t>
  </si>
  <si>
    <t>Всього власних доходів</t>
  </si>
  <si>
    <t>Власні доходи</t>
  </si>
  <si>
    <t>24061900</t>
  </si>
  <si>
    <t>Кошти, отримані від надання учасниками процедури закупівель як забезпечення їх тендерної пропозиції (пропозиції конкурсних торгів), які не підлягають поверненню цим учасникам</t>
  </si>
  <si>
    <t>березень</t>
  </si>
  <si>
    <t>21082400</t>
  </si>
  <si>
    <t>Кошти гарантійного та реєстраційного внесків, що визначені Законом України 'Про оренду державного та комунального майна', які підлягають перерахуванню оператором електронного майданчика до відповідного бюджету</t>
  </si>
  <si>
    <t>15.1.</t>
  </si>
  <si>
    <t>15.2.</t>
  </si>
  <si>
    <t>15.3.</t>
  </si>
  <si>
    <t>15.4.</t>
  </si>
  <si>
    <t>квітень</t>
  </si>
  <si>
    <t>41051400</t>
  </si>
  <si>
    <t>41034500</t>
  </si>
  <si>
    <t>травень</t>
  </si>
  <si>
    <t>червень</t>
  </si>
  <si>
    <t>41052600</t>
  </si>
  <si>
    <t>6.5.</t>
  </si>
  <si>
    <t>липень</t>
  </si>
  <si>
    <t>Субвенція з місцевого бюджету на виплату грошової компенсації за належні для отримання жилі приміщення для сімей загиблих осіб, визначених абзацами 5 - 8 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</si>
  <si>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41050400</t>
  </si>
  <si>
    <t>Субвенція з місцевого бюджету на виплату грошової компенсації за належні для отримання жилі приміщення для сімей загиблих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які стали інвалідами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</si>
  <si>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41050500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</si>
  <si>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безпосереденьо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</si>
  <si>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41050600</t>
  </si>
  <si>
    <t>* на будівництво мережі каналізації на території приватного сектору квартального комітету «Добробут» мікрорайону «Старе місто» в м.Вінниці</t>
  </si>
  <si>
    <t>* на капітальний ремонт по очистці р.Південний Буг</t>
  </si>
  <si>
    <t>серпень</t>
  </si>
  <si>
    <t>вересень</t>
  </si>
  <si>
    <t>41053000</t>
  </si>
  <si>
    <t>Субвенція з місцевого бюджету на реалізацію проектів з реконструкції, капітального ремонту приймальних відділень в опорних закладах охорони здоров'я у госпітальних округах за рахунок відповідної субвенції з державного бюджету</t>
  </si>
  <si>
    <t>41055100</t>
  </si>
  <si>
    <t>41032700</t>
  </si>
  <si>
    <t>Субвенція з державного бюджету місцевим бюджетам на реалізацію програми "Спроможна школа для кращих результатів"</t>
  </si>
  <si>
    <t>41055200</t>
  </si>
  <si>
    <t>жовтень</t>
  </si>
  <si>
    <t>* субвенція з бюджету Вороновицької селищної територіальної громади  на оплату комунальних послуг та енергоносіїв для терапевтичного та хірургічного відділень КНП «Вінницька клінічна багатопрофільна лікарня» Вінницької міської ради, які знаходяться за адресою: Вінницька область, Вінницький район, смт Вороновиця, вул. Гагаріна, буд.20</t>
  </si>
  <si>
    <t>Надходження коштів з рахунків виборчих фондів</t>
  </si>
  <si>
    <t>24060600</t>
  </si>
  <si>
    <t>41051100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</si>
  <si>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</si>
  <si>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</si>
  <si>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листопад</t>
  </si>
  <si>
    <t>% виконання до уточненого плану на 2021р. 
(норма 91,7 %)</t>
  </si>
  <si>
    <t>План на січень - листопад 2021 року</t>
  </si>
  <si>
    <t>Відхилення надходжень до бюджету на січень - листопад 2021 року</t>
  </si>
  <si>
    <t>Надійшло за січень - листопад 2020р.</t>
  </si>
  <si>
    <t>Відхилення факту січня - листопада 2021р. від факту січня - листопада 2020р.</t>
  </si>
  <si>
    <t>19.1.</t>
  </si>
  <si>
    <t>19.2.</t>
  </si>
  <si>
    <t>19.3.</t>
  </si>
  <si>
    <t>19.4.</t>
  </si>
  <si>
    <t>19.5.</t>
  </si>
  <si>
    <t>19.6.</t>
  </si>
  <si>
    <t>19.7.</t>
  </si>
  <si>
    <t>19.8.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</si>
  <si>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</si>
  <si>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</si>
  <si>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</si>
  <si>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</si>
  <si>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</si>
  <si>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</si>
  <si>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</si>
  <si>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</si>
  <si>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Субвенція з місцевого бюджету на проведення виборів депутатів місцевих рад та сільських, селищних, міських голів, за рахунок відповідної субвенції з державного бюджету</t>
  </si>
  <si>
    <t>Субвенція з місцевого бюджету на забезпечення подачею кисню ліжкового фонду закладів охорони здоров'я, які надають стаціонарну медичну допомогу пацієнтам з гострою респіраторною хворобою COVID-19, спричиненою коронавірусом SARS-CoV-2, за рахунок відповідної субвенції з державного бюджету</t>
  </si>
  <si>
    <t>Інші субвенції з місцевого бюджету</t>
  </si>
  <si>
    <t>* субвенція з обласного бюджету на відшкодування витрат на поховання учасників бойових дій та осіб з інвалідністю внаслідок війни</t>
  </si>
  <si>
    <t>* субвенція з обласного бюджету на пільгове медичне обслуговування  громадян, які постраждали внаслідок Чорнобильської катастрофи</t>
  </si>
  <si>
    <t>* субвенція з обласного бюджету на компенсаційні виплати особам з інвалідністю на бензин (пальне), ремонт, техобслуговування автотранспорту та на транспортне обслуговування, встановлення телефонів особам з інвалідністю І та ІІ груп</t>
  </si>
  <si>
    <t>* субвенція з обласного бюджету на компенсаційні виплати за пільговий проїзд окремих категорій громадян на міжміських внутрішньообласних маршрутах загального користування</t>
  </si>
  <si>
    <t>* субвенція з обласного бюджету для забезпечення витратними матеріалами (кардіовиробами) хворих області в КНП "Вінницький регіональний клінічний лікувально-діагностичний центр серцево-судинної патології"</t>
  </si>
  <si>
    <t>* субвенція з бюджету Вороновицької селищної територіальної громади для проведення технічного обстеження на предмет оцінки доступності осіб з інвалідністю та інших маломобільних груп населення до вхідної групи та внутрішніх приміщень будівлі терапевтичного та хірургічного відділень №2, КНП «Вінницька клінічна багатопрофільна лікарня» Вінницької міської ради, яка знаходиться за адресою: Вінницька область, смт Вороновиця, вул. Гагаріна, буд.20</t>
  </si>
  <si>
    <t>субвенція з обласного бюджету громадській організації «Футбольний клуб «Нива – Вінниця» для підготовки та участі спортсменів в чемпіонаті України з футболу серед команд другої ліги</t>
  </si>
  <si>
    <t>Субвенція з державного бюджету місцевим бюджетам на реформуваннярегіональних систем охорони здоров’я для здійснення заходів з виконання спільного з Міжнародним банком реконструкції та розвитку проекту «Поліпшення охорони здоров’я на службі у людей»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</si>
  <si>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 за рахунок відповідної субвенції з державного бюджету</t>
  </si>
  <si>
    <t>Інші субвенції з місцевого бюджету:</t>
  </si>
  <si>
    <t>Субвенція з сільського бюджету села Вінницькі Хутори Вінницького району на капітальний ремонт дороги по вул. Войцехівського м.Вінниці</t>
  </si>
  <si>
    <r>
      <t>Субвенція з місцевого бюджету на здійснення переданих видатків у</t>
    </r>
    <r>
      <rPr>
        <sz val="14"/>
        <rFont val="Times New Roman Cyr"/>
        <charset val="204"/>
      </rPr>
      <t xml:space="preserve"> сфері охорони злоров'я за рахунок коштів медичної субвенції</t>
    </r>
  </si>
  <si>
    <t>Надходження коштів пайової участі у розвитку інфраструктури населеного пункту</t>
  </si>
  <si>
    <t>Надійшло за січень - листопад 2021р.</t>
  </si>
  <si>
    <t xml:space="preserve">Директор департаменту фінансів </t>
  </si>
  <si>
    <t>Наталія Луценко</t>
  </si>
  <si>
    <t>вик.: Серветник М.М.</t>
  </si>
  <si>
    <t xml:space="preserve">Аналіз виконання бюджету Вінницької міської територіальної громади за січень - листопад 2021 року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</si>
</sst>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0.000"/>
    <numFmt numFmtId="166" formatCode="#,##0.000"/>
    <numFmt numFmtId="167" formatCode="#,##0.00000"/>
    <numFmt numFmtId="168" formatCode="#,##0.0"/>
    <numFmt numFmtId="169" formatCode="_-* #,##0.00_р_._-;\-* #,##0.00_р_._-;_-* &quot;-&quot;??_р_._-;_-@_-"/>
  </numFmts>
  <fonts count="53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charset val="204"/>
    </font>
    <font>
      <i/>
      <sz val="12"/>
      <name val="Times New Roman Cyr"/>
      <charset val="204"/>
    </font>
    <font>
      <sz val="14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i/>
      <sz val="16"/>
      <name val="Times New Roman Cyr"/>
      <charset val="204"/>
    </font>
    <font>
      <sz val="16"/>
      <name val="Times New Roman"/>
      <family val="1"/>
      <charset val="204"/>
    </font>
    <font>
      <b/>
      <sz val="24"/>
      <name val="Times New Roman Cyr"/>
      <family val="1"/>
      <charset val="204"/>
    </font>
    <font>
      <b/>
      <sz val="24"/>
      <name val="Times New Roman Cyr"/>
      <charset val="204"/>
    </font>
    <font>
      <sz val="24"/>
      <name val="Times New Roman Cyr"/>
      <charset val="204"/>
    </font>
    <font>
      <sz val="11"/>
      <name val="Times New Roman Cyr"/>
      <charset val="204"/>
    </font>
    <font>
      <b/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2"/>
      <name val="Times New Roman Cyr"/>
      <charset val="204"/>
    </font>
    <font>
      <b/>
      <sz val="12"/>
      <name val="Times New Roman Cyr"/>
      <family val="1"/>
      <charset val="204"/>
    </font>
    <font>
      <i/>
      <sz val="16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 Cyr"/>
      <charset val="204"/>
    </font>
    <font>
      <b/>
      <sz val="18"/>
      <name val="Times New Roman"/>
      <family val="1"/>
      <charset val="204"/>
    </font>
    <font>
      <b/>
      <sz val="18"/>
      <name val="Times New Roman Cyr"/>
      <family val="1"/>
      <charset val="204"/>
    </font>
    <font>
      <sz val="10"/>
      <name val="Arial"/>
      <family val="2"/>
      <charset val="204"/>
    </font>
    <font>
      <sz val="15"/>
      <name val="Times New Roman Cyr"/>
      <charset val="204"/>
    </font>
    <font>
      <b/>
      <i/>
      <sz val="18"/>
      <name val="Times New Roman"/>
      <family val="1"/>
      <charset val="204"/>
    </font>
    <font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i/>
      <sz val="15"/>
      <name val="Times New Roman Cyr"/>
      <charset val="204"/>
    </font>
    <font>
      <i/>
      <sz val="14"/>
      <name val="Times New Roman Cyr"/>
      <charset val="204"/>
    </font>
    <font>
      <b/>
      <sz val="19"/>
      <name val="Times New Roman Cyr"/>
      <charset val="204"/>
    </font>
    <font>
      <b/>
      <sz val="19"/>
      <name val="Times New Roman"/>
      <family val="1"/>
      <charset val="204"/>
    </font>
    <font>
      <i/>
      <sz val="18"/>
      <name val="Times New Roman Cyr"/>
      <charset val="204"/>
    </font>
    <font>
      <sz val="15.5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  <charset val="204"/>
    </font>
    <font>
      <sz val="14"/>
      <name val="Times New Roman Cyr"/>
      <charset val="204"/>
    </font>
    <font>
      <b/>
      <sz val="20"/>
      <name val="Times New Roman"/>
      <family val="1"/>
      <charset val="204"/>
    </font>
    <font>
      <b/>
      <sz val="20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/>
    <xf numFmtId="0" fontId="2" fillId="0" borderId="0"/>
    <xf numFmtId="0" fontId="2" fillId="0" borderId="0"/>
    <xf numFmtId="0" fontId="36" fillId="0" borderId="0"/>
    <xf numFmtId="0" fontId="47" fillId="0" borderId="0"/>
    <xf numFmtId="0" fontId="2" fillId="0" borderId="0"/>
    <xf numFmtId="0" fontId="36" fillId="0" borderId="0"/>
    <xf numFmtId="0" fontId="36" fillId="0" borderId="0"/>
    <xf numFmtId="169" fontId="2" fillId="0" borderId="0" applyFont="0" applyFill="0" applyBorder="0" applyAlignment="0" applyProtection="0"/>
    <xf numFmtId="0" fontId="36" fillId="0" borderId="0"/>
    <xf numFmtId="0" fontId="36" fillId="0" borderId="0"/>
    <xf numFmtId="0" fontId="48" fillId="0" borderId="0"/>
    <xf numFmtId="0" fontId="4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6" fillId="0" borderId="0"/>
    <xf numFmtId="0" fontId="49" fillId="0" borderId="0"/>
    <xf numFmtId="0" fontId="1" fillId="0" borderId="0"/>
    <xf numFmtId="0" fontId="36" fillId="0" borderId="0"/>
    <xf numFmtId="0" fontId="36" fillId="0" borderId="0"/>
    <xf numFmtId="0" fontId="48" fillId="0" borderId="0"/>
  </cellStyleXfs>
  <cellXfs count="197">
    <xf numFmtId="0" fontId="0" fillId="0" borderId="0" xfId="0"/>
    <xf numFmtId="0" fontId="3" fillId="0" borderId="0" xfId="2" applyFont="1" applyFill="1" applyBorder="1" applyAlignment="1">
      <alignment horizontal="center" vertical="center" wrapText="1"/>
    </xf>
    <xf numFmtId="0" fontId="8" fillId="0" borderId="0" xfId="2" applyFont="1" applyFill="1" applyBorder="1"/>
    <xf numFmtId="0" fontId="8" fillId="0" borderId="0" xfId="2" applyFont="1" applyFill="1" applyBorder="1" applyAlignment="1">
      <alignment horizontal="center" vertical="center" wrapText="1"/>
    </xf>
    <xf numFmtId="49" fontId="7" fillId="0" borderId="0" xfId="1" applyNumberFormat="1" applyFont="1" applyFill="1" applyBorder="1" applyAlignment="1">
      <alignment horizontal="center" vertical="center"/>
    </xf>
    <xf numFmtId="165" fontId="7" fillId="0" borderId="0" xfId="1" applyNumberFormat="1" applyFont="1" applyFill="1" applyBorder="1" applyAlignment="1">
      <alignment horizontal="center" vertical="center" wrapText="1"/>
    </xf>
    <xf numFmtId="0" fontId="7" fillId="0" borderId="0" xfId="1" applyFont="1" applyFill="1" applyBorder="1"/>
    <xf numFmtId="165" fontId="21" fillId="0" borderId="1" xfId="1" applyNumberFormat="1" applyFont="1" applyFill="1" applyBorder="1" applyAlignment="1">
      <alignment horizontal="center" vertical="center" wrapText="1"/>
    </xf>
    <xf numFmtId="0" fontId="5" fillId="0" borderId="0" xfId="1" applyFont="1" applyFill="1" applyBorder="1"/>
    <xf numFmtId="49" fontId="22" fillId="0" borderId="1" xfId="1" applyNumberFormat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0" fontId="6" fillId="0" borderId="0" xfId="1" applyFont="1" applyFill="1" applyBorder="1"/>
    <xf numFmtId="0" fontId="15" fillId="0" borderId="1" xfId="1" applyFont="1" applyFill="1" applyBorder="1" applyAlignment="1">
      <alignment horizontal="center" vertical="center"/>
    </xf>
    <xf numFmtId="0" fontId="10" fillId="0" borderId="0" xfId="1" applyFont="1" applyFill="1" applyBorder="1"/>
    <xf numFmtId="0" fontId="24" fillId="0" borderId="1" xfId="1" applyFont="1" applyFill="1" applyBorder="1" applyAlignment="1">
      <alignment horizontal="left" vertical="center" wrapText="1"/>
    </xf>
    <xf numFmtId="49" fontId="23" fillId="0" borderId="1" xfId="1" applyNumberFormat="1" applyFont="1" applyFill="1" applyBorder="1" applyAlignment="1">
      <alignment horizontal="center" vertical="center" wrapText="1"/>
    </xf>
    <xf numFmtId="0" fontId="19" fillId="0" borderId="0" xfId="2" applyFont="1" applyFill="1"/>
    <xf numFmtId="0" fontId="3" fillId="0" borderId="0" xfId="2" applyFont="1" applyFill="1"/>
    <xf numFmtId="0" fontId="4" fillId="0" borderId="0" xfId="2" applyFont="1" applyFill="1" applyBorder="1" applyAlignment="1">
      <alignment horizontal="center" vertical="center" wrapText="1"/>
    </xf>
    <xf numFmtId="49" fontId="21" fillId="0" borderId="1" xfId="1" applyNumberFormat="1" applyFont="1" applyFill="1" applyBorder="1" applyAlignment="1">
      <alignment horizontal="center" vertical="center" wrapText="1"/>
    </xf>
    <xf numFmtId="49" fontId="15" fillId="0" borderId="1" xfId="1" applyNumberFormat="1" applyFont="1" applyFill="1" applyBorder="1" applyAlignment="1">
      <alignment horizontal="center" vertical="center"/>
    </xf>
    <xf numFmtId="0" fontId="8" fillId="0" borderId="0" xfId="2" applyFont="1" applyFill="1"/>
    <xf numFmtId="0" fontId="5" fillId="0" borderId="0" xfId="2" applyFont="1" applyFill="1"/>
    <xf numFmtId="0" fontId="20" fillId="0" borderId="0" xfId="2" applyFont="1" applyFill="1"/>
    <xf numFmtId="0" fontId="13" fillId="0" borderId="0" xfId="1" applyFont="1" applyFill="1" applyBorder="1"/>
    <xf numFmtId="49" fontId="14" fillId="0" borderId="1" xfId="2" applyNumberFormat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0" fontId="28" fillId="0" borderId="0" xfId="1" applyFont="1" applyFill="1" applyBorder="1"/>
    <xf numFmtId="0" fontId="13" fillId="0" borderId="0" xfId="1" applyFont="1" applyFill="1" applyBorder="1" applyAlignment="1">
      <alignment horizontal="center" vertical="center"/>
    </xf>
    <xf numFmtId="0" fontId="24" fillId="0" borderId="0" xfId="1" applyFont="1" applyFill="1" applyBorder="1" applyAlignment="1">
      <alignment horizontal="left" vertical="center" wrapText="1"/>
    </xf>
    <xf numFmtId="49" fontId="21" fillId="0" borderId="0" xfId="1" applyNumberFormat="1" applyFont="1" applyFill="1" applyBorder="1" applyAlignment="1">
      <alignment horizontal="center" vertical="center" wrapText="1"/>
    </xf>
    <xf numFmtId="0" fontId="16" fillId="0" borderId="1" xfId="1" applyNumberFormat="1" applyFont="1" applyFill="1" applyBorder="1" applyAlignment="1">
      <alignment horizontal="left" vertical="center" wrapText="1"/>
    </xf>
    <xf numFmtId="0" fontId="30" fillId="0" borderId="0" xfId="1" applyFont="1" applyFill="1" applyBorder="1"/>
    <xf numFmtId="166" fontId="5" fillId="0" borderId="0" xfId="1" applyNumberFormat="1" applyFont="1" applyFill="1" applyBorder="1"/>
    <xf numFmtId="49" fontId="26" fillId="0" borderId="1" xfId="1" applyNumberFormat="1" applyFont="1" applyFill="1" applyBorder="1" applyAlignment="1">
      <alignment horizontal="left" vertical="center" wrapText="1"/>
    </xf>
    <xf numFmtId="164" fontId="5" fillId="0" borderId="0" xfId="1" applyNumberFormat="1" applyFont="1" applyFill="1" applyBorder="1"/>
    <xf numFmtId="0" fontId="35" fillId="2" borderId="1" xfId="1" applyFont="1" applyFill="1" applyBorder="1" applyAlignment="1">
      <alignment horizontal="center" vertical="center"/>
    </xf>
    <xf numFmtId="49" fontId="34" fillId="2" borderId="1" xfId="1" applyNumberFormat="1" applyFont="1" applyFill="1" applyBorder="1" applyAlignment="1">
      <alignment horizontal="center" vertical="center" wrapText="1"/>
    </xf>
    <xf numFmtId="0" fontId="35" fillId="2" borderId="0" xfId="1" applyFont="1" applyFill="1" applyBorder="1"/>
    <xf numFmtId="0" fontId="33" fillId="0" borderId="1" xfId="1" applyFont="1" applyFill="1" applyBorder="1" applyAlignment="1">
      <alignment horizontal="center" vertical="center"/>
    </xf>
    <xf numFmtId="49" fontId="34" fillId="0" borderId="1" xfId="1" applyNumberFormat="1" applyFont="1" applyFill="1" applyBorder="1" applyAlignment="1">
      <alignment horizontal="center" vertical="center" wrapText="1"/>
    </xf>
    <xf numFmtId="0" fontId="33" fillId="0" borderId="0" xfId="1" applyFont="1" applyFill="1" applyBorder="1"/>
    <xf numFmtId="0" fontId="34" fillId="0" borderId="1" xfId="1" applyFont="1" applyFill="1" applyBorder="1" applyAlignment="1">
      <alignment horizontal="center" vertical="center" wrapText="1"/>
    </xf>
    <xf numFmtId="0" fontId="12" fillId="0" borderId="0" xfId="1" applyFont="1" applyFill="1" applyBorder="1"/>
    <xf numFmtId="166" fontId="13" fillId="0" borderId="0" xfId="1" applyNumberFormat="1" applyFont="1" applyFill="1" applyBorder="1"/>
    <xf numFmtId="0" fontId="15" fillId="0" borderId="0" xfId="1" applyFont="1" applyFill="1" applyBorder="1"/>
    <xf numFmtId="0" fontId="29" fillId="0" borderId="0" xfId="1" applyFont="1" applyFill="1" applyBorder="1"/>
    <xf numFmtId="0" fontId="35" fillId="0" borderId="1" xfId="1" applyFont="1" applyFill="1" applyBorder="1" applyAlignment="1">
      <alignment horizontal="center" vertical="center"/>
    </xf>
    <xf numFmtId="0" fontId="35" fillId="0" borderId="0" xfId="1" applyFont="1" applyFill="1" applyBorder="1"/>
    <xf numFmtId="49" fontId="15" fillId="0" borderId="1" xfId="2" applyNumberFormat="1" applyFont="1" applyFill="1" applyBorder="1" applyAlignment="1">
      <alignment horizontal="center" vertical="center" wrapText="1"/>
    </xf>
    <xf numFmtId="0" fontId="9" fillId="0" borderId="0" xfId="3" applyFont="1" applyFill="1" applyBorder="1" applyAlignment="1">
      <alignment wrapText="1"/>
    </xf>
    <xf numFmtId="1" fontId="12" fillId="0" borderId="1" xfId="3" applyNumberFormat="1" applyFont="1" applyFill="1" applyBorder="1" applyAlignment="1">
      <alignment horizontal="center" vertical="center" wrapText="1"/>
    </xf>
    <xf numFmtId="1" fontId="3" fillId="0" borderId="0" xfId="3" applyNumberFormat="1" applyFont="1" applyFill="1" applyBorder="1" applyAlignment="1">
      <alignment horizontal="center" vertical="center" wrapText="1"/>
    </xf>
    <xf numFmtId="1" fontId="3" fillId="0" borderId="0" xfId="3" applyNumberFormat="1" applyFont="1" applyFill="1" applyBorder="1"/>
    <xf numFmtId="0" fontId="3" fillId="0" borderId="0" xfId="3" applyFont="1" applyFill="1" applyBorder="1"/>
    <xf numFmtId="166" fontId="5" fillId="0" borderId="0" xfId="3" applyNumberFormat="1" applyFont="1" applyFill="1" applyBorder="1"/>
    <xf numFmtId="164" fontId="5" fillId="0" borderId="0" xfId="3" applyNumberFormat="1" applyFont="1" applyFill="1" applyBorder="1"/>
    <xf numFmtId="0" fontId="29" fillId="0" borderId="1" xfId="3" applyFont="1" applyFill="1" applyBorder="1" applyAlignment="1">
      <alignment horizontal="center" vertical="center"/>
    </xf>
    <xf numFmtId="166" fontId="30" fillId="0" borderId="0" xfId="3" applyNumberFormat="1" applyFont="1" applyFill="1" applyBorder="1"/>
    <xf numFmtId="164" fontId="30" fillId="0" borderId="0" xfId="3" applyNumberFormat="1" applyFont="1" applyFill="1" applyBorder="1"/>
    <xf numFmtId="0" fontId="30" fillId="0" borderId="0" xfId="3" applyFont="1" applyFill="1" applyBorder="1"/>
    <xf numFmtId="0" fontId="25" fillId="0" borderId="1" xfId="3" applyFont="1" applyFill="1" applyBorder="1" applyAlignment="1">
      <alignment horizontal="left" vertical="center" wrapText="1"/>
    </xf>
    <xf numFmtId="0" fontId="33" fillId="2" borderId="1" xfId="3" applyFont="1" applyFill="1" applyBorder="1" applyAlignment="1">
      <alignment horizontal="center" vertical="center"/>
    </xf>
    <xf numFmtId="0" fontId="34" fillId="2" borderId="1" xfId="3" applyFont="1" applyFill="1" applyBorder="1" applyAlignment="1">
      <alignment horizontal="center" vertical="center" wrapText="1"/>
    </xf>
    <xf numFmtId="166" fontId="34" fillId="2" borderId="1" xfId="3" applyNumberFormat="1" applyFont="1" applyFill="1" applyBorder="1" applyAlignment="1">
      <alignment horizontal="center" vertical="center"/>
    </xf>
    <xf numFmtId="164" fontId="34" fillId="2" borderId="1" xfId="3" applyNumberFormat="1" applyFont="1" applyFill="1" applyBorder="1" applyAlignment="1">
      <alignment horizontal="center" vertical="center"/>
    </xf>
    <xf numFmtId="0" fontId="33" fillId="2" borderId="0" xfId="3" applyFont="1" applyFill="1" applyBorder="1"/>
    <xf numFmtId="166" fontId="33" fillId="2" borderId="0" xfId="3" applyNumberFormat="1" applyFont="1" applyFill="1" applyBorder="1"/>
    <xf numFmtId="166" fontId="34" fillId="0" borderId="1" xfId="3" applyNumberFormat="1" applyFont="1" applyFill="1" applyBorder="1" applyAlignment="1">
      <alignment horizontal="center" vertical="center"/>
    </xf>
    <xf numFmtId="164" fontId="34" fillId="0" borderId="1" xfId="3" applyNumberFormat="1" applyFont="1" applyFill="1" applyBorder="1" applyAlignment="1">
      <alignment horizontal="center" vertical="center"/>
    </xf>
    <xf numFmtId="0" fontId="32" fillId="0" borderId="1" xfId="3" applyFont="1" applyFill="1" applyBorder="1" applyAlignment="1">
      <alignment horizontal="left" vertical="center" wrapText="1"/>
    </xf>
    <xf numFmtId="166" fontId="21" fillId="0" borderId="0" xfId="3" applyNumberFormat="1" applyFont="1" applyFill="1" applyBorder="1" applyAlignment="1">
      <alignment horizontal="center" vertical="center"/>
    </xf>
    <xf numFmtId="164" fontId="21" fillId="0" borderId="0" xfId="3" applyNumberFormat="1" applyFont="1" applyFill="1" applyBorder="1" applyAlignment="1">
      <alignment horizontal="center" vertical="center"/>
    </xf>
    <xf numFmtId="165" fontId="7" fillId="0" borderId="0" xfId="3" applyNumberFormat="1" applyFont="1" applyFill="1" applyBorder="1" applyAlignment="1">
      <alignment horizontal="center" vertical="center"/>
    </xf>
    <xf numFmtId="164" fontId="7" fillId="0" borderId="0" xfId="3" applyNumberFormat="1" applyFont="1" applyFill="1" applyBorder="1" applyAlignment="1">
      <alignment horizontal="center" vertical="center"/>
    </xf>
    <xf numFmtId="166" fontId="4" fillId="0" borderId="0" xfId="2" applyNumberFormat="1" applyFont="1" applyFill="1" applyBorder="1" applyAlignment="1">
      <alignment horizontal="center"/>
    </xf>
    <xf numFmtId="49" fontId="37" fillId="0" borderId="1" xfId="2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26" fillId="0" borderId="1" xfId="1" applyFont="1" applyFill="1" applyBorder="1" applyAlignment="1">
      <alignment horizontal="left" vertical="center" wrapText="1"/>
    </xf>
    <xf numFmtId="166" fontId="38" fillId="0" borderId="1" xfId="3" applyNumberFormat="1" applyFont="1" applyFill="1" applyBorder="1" applyAlignment="1">
      <alignment horizontal="center" vertical="center" wrapText="1"/>
    </xf>
    <xf numFmtId="0" fontId="37" fillId="0" borderId="1" xfId="2" applyFont="1" applyFill="1" applyBorder="1" applyAlignment="1">
      <alignment horizontal="left" vertical="center" wrapText="1"/>
    </xf>
    <xf numFmtId="0" fontId="27" fillId="0" borderId="0" xfId="3" applyFont="1" applyFill="1" applyBorder="1"/>
    <xf numFmtId="14" fontId="29" fillId="0" borderId="1" xfId="3" applyNumberFormat="1" applyFont="1" applyFill="1" applyBorder="1" applyAlignment="1">
      <alignment horizontal="center" vertical="center"/>
    </xf>
    <xf numFmtId="0" fontId="7" fillId="0" borderId="0" xfId="3" applyFont="1" applyFill="1" applyBorder="1"/>
    <xf numFmtId="166" fontId="7" fillId="0" borderId="0" xfId="3" applyNumberFormat="1" applyFont="1" applyFill="1" applyBorder="1"/>
    <xf numFmtId="164" fontId="7" fillId="0" borderId="0" xfId="3" applyNumberFormat="1" applyFont="1" applyFill="1" applyBorder="1"/>
    <xf numFmtId="49" fontId="23" fillId="0" borderId="1" xfId="3" applyNumberFormat="1" applyFont="1" applyFill="1" applyBorder="1" applyAlignment="1">
      <alignment horizontal="center" vertical="center" shrinkToFit="1"/>
    </xf>
    <xf numFmtId="0" fontId="7" fillId="0" borderId="0" xfId="3" applyFont="1" applyFill="1" applyBorder="1" applyAlignment="1">
      <alignment horizontal="center"/>
    </xf>
    <xf numFmtId="166" fontId="32" fillId="0" borderId="0" xfId="1" applyNumberFormat="1" applyFont="1" applyFill="1" applyBorder="1" applyAlignment="1">
      <alignment horizontal="center" vertical="center" wrapText="1"/>
    </xf>
    <xf numFmtId="166" fontId="3" fillId="0" borderId="0" xfId="2" applyNumberFormat="1" applyFont="1" applyFill="1" applyBorder="1"/>
    <xf numFmtId="49" fontId="25" fillId="0" borderId="1" xfId="1" applyNumberFormat="1" applyFont="1" applyFill="1" applyBorder="1" applyAlignment="1">
      <alignment horizontal="left" vertical="center" wrapText="1"/>
    </xf>
    <xf numFmtId="166" fontId="40" fillId="0" borderId="1" xfId="0" applyNumberFormat="1" applyFont="1" applyFill="1" applyBorder="1" applyAlignment="1">
      <alignment horizontal="center" vertical="center" wrapText="1"/>
    </xf>
    <xf numFmtId="166" fontId="40" fillId="0" borderId="1" xfId="3" applyNumberFormat="1" applyFont="1" applyFill="1" applyBorder="1" applyAlignment="1">
      <alignment horizontal="center" vertical="center"/>
    </xf>
    <xf numFmtId="49" fontId="26" fillId="0" borderId="1" xfId="3" applyNumberFormat="1" applyFont="1" applyFill="1" applyBorder="1" applyAlignment="1">
      <alignment horizontal="left" vertical="center" wrapText="1"/>
    </xf>
    <xf numFmtId="49" fontId="41" fillId="0" borderId="1" xfId="2" applyNumberFormat="1" applyFont="1" applyFill="1" applyBorder="1" applyAlignment="1">
      <alignment horizontal="left" vertical="center" wrapText="1"/>
    </xf>
    <xf numFmtId="0" fontId="41" fillId="0" borderId="1" xfId="2" applyNumberFormat="1" applyFont="1" applyFill="1" applyBorder="1" applyAlignment="1">
      <alignment horizontal="left" vertical="center" wrapText="1"/>
    </xf>
    <xf numFmtId="166" fontId="19" fillId="0" borderId="0" xfId="2" applyNumberFormat="1" applyFont="1" applyFill="1"/>
    <xf numFmtId="166" fontId="34" fillId="0" borderId="0" xfId="1" applyNumberFormat="1" applyFont="1" applyFill="1" applyBorder="1" applyAlignment="1">
      <alignment horizontal="center" vertical="center" wrapText="1"/>
    </xf>
    <xf numFmtId="0" fontId="42" fillId="0" borderId="1" xfId="3" applyNumberFormat="1" applyFont="1" applyFill="1" applyBorder="1" applyAlignment="1">
      <alignment horizontal="left" vertical="center" wrapText="1" shrinkToFit="1"/>
    </xf>
    <xf numFmtId="0" fontId="32" fillId="0" borderId="1" xfId="3" applyFont="1" applyFill="1" applyBorder="1" applyAlignment="1">
      <alignment horizontal="center" vertical="center" wrapText="1"/>
    </xf>
    <xf numFmtId="166" fontId="27" fillId="0" borderId="0" xfId="3" applyNumberFormat="1" applyFont="1" applyFill="1" applyBorder="1"/>
    <xf numFmtId="0" fontId="43" fillId="2" borderId="1" xfId="1" applyFont="1" applyFill="1" applyBorder="1" applyAlignment="1">
      <alignment horizontal="center" vertical="center"/>
    </xf>
    <xf numFmtId="0" fontId="44" fillId="2" borderId="1" xfId="1" applyFont="1" applyFill="1" applyBorder="1" applyAlignment="1">
      <alignment horizontal="center" vertical="center" wrapText="1"/>
    </xf>
    <xf numFmtId="165" fontId="44" fillId="2" borderId="1" xfId="1" applyNumberFormat="1" applyFont="1" applyFill="1" applyBorder="1" applyAlignment="1">
      <alignment horizontal="center" vertical="center" wrapText="1"/>
    </xf>
    <xf numFmtId="166" fontId="44" fillId="2" borderId="1" xfId="1" applyNumberFormat="1" applyFont="1" applyFill="1" applyBorder="1" applyAlignment="1">
      <alignment horizontal="center" vertical="center" wrapText="1"/>
    </xf>
    <xf numFmtId="166" fontId="44" fillId="2" borderId="1" xfId="3" applyNumberFormat="1" applyFont="1" applyFill="1" applyBorder="1" applyAlignment="1">
      <alignment horizontal="center" vertical="center"/>
    </xf>
    <xf numFmtId="164" fontId="44" fillId="2" borderId="1" xfId="3" applyNumberFormat="1" applyFont="1" applyFill="1" applyBorder="1" applyAlignment="1">
      <alignment horizontal="center" vertical="center"/>
    </xf>
    <xf numFmtId="166" fontId="43" fillId="2" borderId="0" xfId="1" applyNumberFormat="1" applyFont="1" applyFill="1" applyBorder="1"/>
    <xf numFmtId="0" fontId="43" fillId="2" borderId="0" xfId="1" applyFont="1" applyFill="1" applyBorder="1"/>
    <xf numFmtId="49" fontId="44" fillId="2" borderId="1" xfId="1" applyNumberFormat="1" applyFont="1" applyFill="1" applyBorder="1" applyAlignment="1">
      <alignment horizontal="center" vertical="center" wrapText="1"/>
    </xf>
    <xf numFmtId="0" fontId="44" fillId="0" borderId="1" xfId="1" applyFont="1" applyFill="1" applyBorder="1" applyAlignment="1">
      <alignment horizontal="center" vertical="center" wrapText="1"/>
    </xf>
    <xf numFmtId="49" fontId="44" fillId="0" borderId="1" xfId="1" applyNumberFormat="1" applyFont="1" applyFill="1" applyBorder="1" applyAlignment="1">
      <alignment horizontal="center" vertical="center" wrapText="1"/>
    </xf>
    <xf numFmtId="166" fontId="44" fillId="0" borderId="1" xfId="1" applyNumberFormat="1" applyFont="1" applyFill="1" applyBorder="1" applyAlignment="1">
      <alignment horizontal="center" vertical="center" wrapText="1"/>
    </xf>
    <xf numFmtId="166" fontId="44" fillId="0" borderId="1" xfId="3" applyNumberFormat="1" applyFont="1" applyFill="1" applyBorder="1" applyAlignment="1">
      <alignment horizontal="center" vertical="center"/>
    </xf>
    <xf numFmtId="164" fontId="44" fillId="0" borderId="1" xfId="3" applyNumberFormat="1" applyFont="1" applyFill="1" applyBorder="1" applyAlignment="1">
      <alignment horizontal="center" vertical="center"/>
    </xf>
    <xf numFmtId="0" fontId="43" fillId="0" borderId="0" xfId="1" applyFont="1" applyFill="1" applyBorder="1"/>
    <xf numFmtId="0" fontId="43" fillId="2" borderId="1" xfId="1" applyFont="1" applyFill="1" applyBorder="1" applyAlignment="1">
      <alignment vertical="center"/>
    </xf>
    <xf numFmtId="0" fontId="43" fillId="0" borderId="1" xfId="1" applyFont="1" applyFill="1" applyBorder="1" applyAlignment="1">
      <alignment vertical="center"/>
    </xf>
    <xf numFmtId="49" fontId="33" fillId="0" borderId="1" xfId="1" applyNumberFormat="1" applyFont="1" applyFill="1" applyBorder="1" applyAlignment="1">
      <alignment horizontal="center" vertical="center"/>
    </xf>
    <xf numFmtId="49" fontId="45" fillId="0" borderId="1" xfId="1" applyNumberFormat="1" applyFont="1" applyFill="1" applyBorder="1" applyAlignment="1">
      <alignment horizontal="center" vertical="center"/>
    </xf>
    <xf numFmtId="49" fontId="40" fillId="0" borderId="1" xfId="1" applyNumberFormat="1" applyFont="1" applyFill="1" applyBorder="1" applyAlignment="1">
      <alignment horizontal="center" vertical="center" wrapText="1"/>
    </xf>
    <xf numFmtId="0" fontId="45" fillId="0" borderId="0" xfId="1" applyFont="1" applyFill="1" applyBorder="1"/>
    <xf numFmtId="49" fontId="41" fillId="0" borderId="1" xfId="3" applyNumberFormat="1" applyFont="1" applyFill="1" applyBorder="1" applyAlignment="1">
      <alignment horizontal="left" vertical="center" wrapText="1"/>
    </xf>
    <xf numFmtId="0" fontId="26" fillId="0" borderId="1" xfId="3" applyFont="1" applyFill="1" applyBorder="1" applyAlignment="1">
      <alignment horizontal="left" vertical="center" wrapText="1"/>
    </xf>
    <xf numFmtId="0" fontId="22" fillId="0" borderId="1" xfId="1" applyFont="1" applyFill="1" applyBorder="1" applyAlignment="1">
      <alignment horizontal="center" vertical="center" wrapText="1"/>
    </xf>
    <xf numFmtId="49" fontId="26" fillId="0" borderId="1" xfId="1" applyNumberFormat="1" applyFont="1" applyFill="1" applyBorder="1" applyAlignment="1">
      <alignment horizontal="center" vertical="center" wrapText="1"/>
    </xf>
    <xf numFmtId="0" fontId="46" fillId="0" borderId="1" xfId="3" applyFont="1" applyFill="1" applyBorder="1" applyAlignment="1">
      <alignment horizontal="left" vertical="center" wrapText="1"/>
    </xf>
    <xf numFmtId="164" fontId="27" fillId="0" borderId="0" xfId="3" applyNumberFormat="1" applyFont="1" applyFill="1" applyBorder="1"/>
    <xf numFmtId="49" fontId="16" fillId="0" borderId="1" xfId="1" applyNumberFormat="1" applyFont="1" applyFill="1" applyBorder="1" applyAlignment="1">
      <alignment horizontal="center" vertical="center" wrapText="1"/>
    </xf>
    <xf numFmtId="0" fontId="27" fillId="0" borderId="0" xfId="1" applyFont="1" applyFill="1" applyBorder="1"/>
    <xf numFmtId="0" fontId="29" fillId="0" borderId="1" xfId="1" applyFont="1" applyFill="1" applyBorder="1" applyAlignment="1">
      <alignment horizontal="center" vertical="center"/>
    </xf>
    <xf numFmtId="168" fontId="39" fillId="0" borderId="1" xfId="1" applyNumberFormat="1" applyFont="1" applyFill="1" applyBorder="1" applyAlignment="1">
      <alignment horizontal="center" vertical="center" wrapText="1"/>
    </xf>
    <xf numFmtId="0" fontId="18" fillId="0" borderId="0" xfId="2" applyFont="1" applyFill="1"/>
    <xf numFmtId="166" fontId="34" fillId="2" borderId="1" xfId="1" applyNumberFormat="1" applyFont="1" applyFill="1" applyBorder="1" applyAlignment="1">
      <alignment horizontal="center" vertical="center" wrapText="1"/>
    </xf>
    <xf numFmtId="166" fontId="34" fillId="0" borderId="1" xfId="1" applyNumberFormat="1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left" vertical="center" wrapText="1"/>
    </xf>
    <xf numFmtId="1" fontId="16" fillId="0" borderId="1" xfId="3" applyNumberFormat="1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/>
    </xf>
    <xf numFmtId="49" fontId="16" fillId="0" borderId="1" xfId="3" applyNumberFormat="1" applyFont="1" applyFill="1" applyBorder="1" applyAlignment="1">
      <alignment horizontal="center" vertical="center" wrapText="1"/>
    </xf>
    <xf numFmtId="0" fontId="5" fillId="0" borderId="0" xfId="3" applyFont="1" applyFill="1" applyBorder="1"/>
    <xf numFmtId="166" fontId="34" fillId="2" borderId="1" xfId="3" applyNumberFormat="1" applyFont="1" applyFill="1" applyBorder="1" applyAlignment="1">
      <alignment horizontal="center" vertical="center" wrapText="1"/>
    </xf>
    <xf numFmtId="166" fontId="32" fillId="0" borderId="1" xfId="1" applyNumberFormat="1" applyFont="1" applyFill="1" applyBorder="1" applyAlignment="1">
      <alignment horizontal="center" vertical="center" wrapText="1"/>
    </xf>
    <xf numFmtId="166" fontId="39" fillId="0" borderId="1" xfId="3" applyNumberFormat="1" applyFont="1" applyFill="1" applyBorder="1" applyAlignment="1">
      <alignment horizontal="center" vertical="center" wrapText="1"/>
    </xf>
    <xf numFmtId="166" fontId="39" fillId="0" borderId="1" xfId="0" applyNumberFormat="1" applyFont="1" applyFill="1" applyBorder="1" applyAlignment="1">
      <alignment horizontal="center" vertical="center" wrapText="1"/>
    </xf>
    <xf numFmtId="166" fontId="39" fillId="0" borderId="1" xfId="3" applyNumberFormat="1" applyFont="1" applyFill="1" applyBorder="1" applyAlignment="1">
      <alignment horizontal="center" vertical="center"/>
    </xf>
    <xf numFmtId="164" fontId="39" fillId="0" borderId="1" xfId="3" applyNumberFormat="1" applyFont="1" applyFill="1" applyBorder="1" applyAlignment="1">
      <alignment horizontal="center" vertical="center"/>
    </xf>
    <xf numFmtId="166" fontId="40" fillId="0" borderId="1" xfId="3" applyNumberFormat="1" applyFont="1" applyFill="1" applyBorder="1" applyAlignment="1">
      <alignment horizontal="center" vertical="center" wrapText="1"/>
    </xf>
    <xf numFmtId="164" fontId="40" fillId="0" borderId="1" xfId="3" applyNumberFormat="1" applyFont="1" applyFill="1" applyBorder="1" applyAlignment="1">
      <alignment horizontal="center" vertical="center"/>
    </xf>
    <xf numFmtId="166" fontId="39" fillId="0" borderId="1" xfId="1" applyNumberFormat="1" applyFont="1" applyFill="1" applyBorder="1" applyAlignment="1">
      <alignment horizontal="center" vertical="center" wrapText="1"/>
    </xf>
    <xf numFmtId="166" fontId="40" fillId="0" borderId="1" xfId="1" applyNumberFormat="1" applyFont="1" applyFill="1" applyBorder="1" applyAlignment="1">
      <alignment horizontal="center" vertical="center" wrapText="1"/>
    </xf>
    <xf numFmtId="49" fontId="38" fillId="0" borderId="1" xfId="1" applyNumberFormat="1" applyFont="1" applyFill="1" applyBorder="1" applyAlignment="1">
      <alignment horizontal="center" vertical="center" wrapText="1"/>
    </xf>
    <xf numFmtId="167" fontId="39" fillId="0" borderId="1" xfId="1" applyNumberFormat="1" applyFont="1" applyFill="1" applyBorder="1" applyAlignment="1">
      <alignment horizontal="center" vertical="center" wrapText="1"/>
    </xf>
    <xf numFmtId="49" fontId="25" fillId="0" borderId="1" xfId="3" applyNumberFormat="1" applyFont="1" applyFill="1" applyBorder="1" applyAlignment="1">
      <alignment horizontal="left" vertical="center" wrapText="1"/>
    </xf>
    <xf numFmtId="0" fontId="3" fillId="0" borderId="0" xfId="2" applyFont="1" applyFill="1" applyBorder="1"/>
    <xf numFmtId="0" fontId="4" fillId="0" borderId="0" xfId="2" applyFont="1" applyFill="1" applyBorder="1" applyAlignment="1">
      <alignment horizontal="center"/>
    </xf>
    <xf numFmtId="166" fontId="21" fillId="0" borderId="0" xfId="1" applyNumberFormat="1" applyFont="1" applyFill="1" applyBorder="1" applyAlignment="1">
      <alignment horizontal="center" vertical="center" wrapText="1"/>
    </xf>
    <xf numFmtId="0" fontId="19" fillId="0" borderId="0" xfId="2" applyFont="1" applyFill="1" applyBorder="1"/>
    <xf numFmtId="0" fontId="5" fillId="0" borderId="0" xfId="2" applyFont="1" applyFill="1" applyBorder="1"/>
    <xf numFmtId="0" fontId="25" fillId="0" borderId="1" xfId="2" applyFont="1" applyFill="1" applyBorder="1" applyAlignment="1">
      <alignment vertical="center" wrapText="1"/>
    </xf>
    <xf numFmtId="165" fontId="16" fillId="0" borderId="1" xfId="1" applyNumberFormat="1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49" fontId="23" fillId="0" borderId="1" xfId="3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49" fontId="12" fillId="0" borderId="1" xfId="3" applyNumberFormat="1" applyFont="1" applyFill="1" applyBorder="1" applyAlignment="1">
      <alignment horizontal="center" vertical="center" wrapText="1" shrinkToFit="1"/>
    </xf>
    <xf numFmtId="2" fontId="34" fillId="0" borderId="1" xfId="1" applyNumberFormat="1" applyFont="1" applyFill="1" applyBorder="1" applyAlignment="1">
      <alignment horizontal="center" vertical="center" wrapText="1"/>
    </xf>
    <xf numFmtId="0" fontId="31" fillId="0" borderId="0" xfId="0" applyFont="1" applyFill="1" applyBorder="1"/>
    <xf numFmtId="49" fontId="12" fillId="0" borderId="1" xfId="3" applyNumberFormat="1" applyFont="1" applyFill="1" applyBorder="1" applyAlignment="1">
      <alignment horizontal="center" vertical="center" wrapText="1" shrinkToFit="1"/>
    </xf>
    <xf numFmtId="0" fontId="41" fillId="0" borderId="1" xfId="1" applyFont="1" applyFill="1" applyBorder="1" applyAlignment="1">
      <alignment horizontal="left" vertical="center" wrapText="1"/>
    </xf>
    <xf numFmtId="168" fontId="40" fillId="0" borderId="1" xfId="1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49" fontId="12" fillId="0" borderId="1" xfId="3" applyNumberFormat="1" applyFont="1" applyFill="1" applyBorder="1" applyAlignment="1">
      <alignment horizontal="center" vertical="center" wrapText="1" shrinkToFit="1"/>
    </xf>
    <xf numFmtId="0" fontId="12" fillId="0" borderId="1" xfId="1" applyFont="1" applyFill="1" applyBorder="1" applyAlignment="1">
      <alignment horizontal="center" vertical="center"/>
    </xf>
    <xf numFmtId="49" fontId="12" fillId="0" borderId="1" xfId="3" applyNumberFormat="1" applyFont="1" applyFill="1" applyBorder="1" applyAlignment="1">
      <alignment horizontal="center" vertical="center" wrapText="1" shrinkToFit="1"/>
    </xf>
    <xf numFmtId="49" fontId="12" fillId="0" borderId="1" xfId="3" applyNumberFormat="1" applyFont="1" applyFill="1" applyBorder="1" applyAlignment="1">
      <alignment horizontal="center" vertical="center" wrapText="1" shrinkToFit="1"/>
    </xf>
    <xf numFmtId="0" fontId="12" fillId="0" borderId="1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/>
    </xf>
    <xf numFmtId="0" fontId="37" fillId="0" borderId="1" xfId="1" applyFont="1" applyFill="1" applyBorder="1" applyAlignment="1">
      <alignment horizontal="left" vertical="center" wrapText="1"/>
    </xf>
    <xf numFmtId="0" fontId="31" fillId="0" borderId="1" xfId="1" applyFont="1" applyFill="1" applyBorder="1" applyAlignment="1">
      <alignment horizontal="left" vertical="center" wrapText="1"/>
    </xf>
    <xf numFmtId="0" fontId="31" fillId="0" borderId="1" xfId="3" applyNumberFormat="1" applyFont="1" applyFill="1" applyBorder="1" applyAlignment="1">
      <alignment horizontal="justify" vertical="center" wrapText="1" shrinkToFit="1"/>
    </xf>
    <xf numFmtId="0" fontId="50" fillId="0" borderId="1" xfId="3" applyNumberFormat="1" applyFont="1" applyFill="1" applyBorder="1" applyAlignment="1">
      <alignment horizontal="left" vertical="center" wrapText="1" shrinkToFit="1"/>
    </xf>
    <xf numFmtId="0" fontId="50" fillId="0" borderId="1" xfId="3" applyNumberFormat="1" applyFont="1" applyFill="1" applyBorder="1" applyAlignment="1">
      <alignment horizontal="justify" vertical="center" wrapText="1" shrinkToFit="1"/>
    </xf>
    <xf numFmtId="0" fontId="51" fillId="0" borderId="0" xfId="3" applyFont="1" applyFill="1" applyBorder="1"/>
    <xf numFmtId="0" fontId="52" fillId="0" borderId="0" xfId="2" applyFont="1" applyFill="1" applyBorder="1"/>
    <xf numFmtId="0" fontId="12" fillId="0" borderId="0" xfId="2" applyFont="1" applyFill="1" applyBorder="1"/>
    <xf numFmtId="49" fontId="17" fillId="0" borderId="0" xfId="2" applyNumberFormat="1" applyFont="1" applyFill="1" applyBorder="1" applyAlignment="1">
      <alignment horizontal="center" vertical="center" wrapText="1"/>
    </xf>
    <xf numFmtId="49" fontId="24" fillId="0" borderId="1" xfId="3" applyNumberFormat="1" applyFont="1" applyFill="1" applyBorder="1" applyAlignment="1">
      <alignment horizontal="center" vertical="center" wrapText="1"/>
    </xf>
    <xf numFmtId="49" fontId="21" fillId="0" borderId="1" xfId="3" applyNumberFormat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 wrapText="1"/>
    </xf>
    <xf numFmtId="49" fontId="31" fillId="0" borderId="1" xfId="3" applyNumberFormat="1" applyFont="1" applyFill="1" applyBorder="1" applyAlignment="1">
      <alignment horizontal="center" vertical="center" wrapText="1"/>
    </xf>
    <xf numFmtId="49" fontId="31" fillId="0" borderId="1" xfId="3" applyNumberFormat="1" applyFont="1" applyFill="1" applyBorder="1" applyAlignment="1">
      <alignment horizontal="center" vertical="center" textRotation="90" wrapText="1"/>
    </xf>
    <xf numFmtId="49" fontId="8" fillId="0" borderId="1" xfId="3" applyNumberFormat="1" applyFont="1" applyFill="1" applyBorder="1" applyAlignment="1">
      <alignment horizontal="center" vertical="center" wrapText="1"/>
    </xf>
    <xf numFmtId="49" fontId="31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23" fillId="0" borderId="1" xfId="3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49" fontId="12" fillId="0" borderId="1" xfId="3" applyNumberFormat="1" applyFont="1" applyFill="1" applyBorder="1" applyAlignment="1">
      <alignment horizontal="center" vertical="center" wrapText="1" shrinkToFit="1"/>
    </xf>
  </cellXfs>
  <cellStyles count="33">
    <cellStyle name="Звичайний 10" xfId="16"/>
    <cellStyle name="Звичайний 11" xfId="17"/>
    <cellStyle name="Звичайний 12" xfId="18"/>
    <cellStyle name="Звичайний 13" xfId="19"/>
    <cellStyle name="Звичайний 14" xfId="20"/>
    <cellStyle name="Звичайний 15" xfId="21"/>
    <cellStyle name="Звичайний 16" xfId="22"/>
    <cellStyle name="Звичайний 17" xfId="23"/>
    <cellStyle name="Звичайний 18" xfId="24"/>
    <cellStyle name="Звичайний 19" xfId="25"/>
    <cellStyle name="Звичайний 2" xfId="3"/>
    <cellStyle name="Звичайний 2 2" xfId="31"/>
    <cellStyle name="Звичайний 2 3" xfId="5"/>
    <cellStyle name="Звичайний 20" xfId="26"/>
    <cellStyle name="Звичайний 3" xfId="6"/>
    <cellStyle name="Звичайний 3 2" xfId="7"/>
    <cellStyle name="Звичайний 4" xfId="9"/>
    <cellStyle name="Звичайний 5" xfId="10"/>
    <cellStyle name="Звичайний 5 2" xfId="27"/>
    <cellStyle name="Звичайний 6" xfId="12"/>
    <cellStyle name="Звичайний 7" xfId="13"/>
    <cellStyle name="Звичайний 8" xfId="14"/>
    <cellStyle name="Звичайний 9" xfId="15"/>
    <cellStyle name="Звичайний_1с" xfId="11"/>
    <cellStyle name="Обычный" xfId="0" builtinId="0"/>
    <cellStyle name="Обычный 2" xfId="28"/>
    <cellStyle name="Обычный 3" xfId="29"/>
    <cellStyle name="Обычный 4" xfId="30"/>
    <cellStyle name="Обычный 5" xfId="32"/>
    <cellStyle name="Обычный 6" xfId="4"/>
    <cellStyle name="Обычный_Ан_вик_бюдж_поміс" xfId="1"/>
    <cellStyle name="Обычный_Ан_вик_бюдж_поміс_вл_закр" xfId="2"/>
    <cellStyle name="Фінансовий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53"/>
  <sheetViews>
    <sheetView showGridLines="0" tabSelected="1" view="pageBreakPreview" zoomScale="60" zoomScaleNormal="75" workbookViewId="0">
      <pane xSplit="3" ySplit="6" topLeftCell="D111" activePane="bottomRight" state="frozen"/>
      <selection pane="topRight" activeCell="D1" sqref="D1"/>
      <selection pane="bottomLeft" activeCell="A7" sqref="A7"/>
      <selection pane="bottomRight" activeCell="A6" sqref="A6:X6"/>
    </sheetView>
  </sheetViews>
  <sheetFormatPr defaultColWidth="9.140625" defaultRowHeight="12.75" x14ac:dyDescent="0.2"/>
  <cols>
    <col min="1" max="1" width="12.28515625" style="17" customWidth="1"/>
    <col min="2" max="2" width="89.28515625" style="17" customWidth="1"/>
    <col min="3" max="3" width="16.140625" style="17" customWidth="1"/>
    <col min="4" max="4" width="24.85546875" style="17" bestFit="1" customWidth="1"/>
    <col min="5" max="5" width="24.140625" style="17" customWidth="1"/>
    <col min="6" max="6" width="24.140625" style="153" customWidth="1"/>
    <col min="7" max="17" width="21.28515625" style="153" hidden="1" customWidth="1"/>
    <col min="18" max="18" width="24.140625" style="153" customWidth="1"/>
    <col min="19" max="19" width="22.28515625" style="1" customWidth="1"/>
    <col min="20" max="20" width="14" style="1" customWidth="1"/>
    <col min="21" max="21" width="14.85546875" style="1" customWidth="1"/>
    <col min="22" max="22" width="24.140625" style="153" customWidth="1"/>
    <col min="23" max="23" width="21.28515625" style="1" customWidth="1"/>
    <col min="24" max="24" width="12.5703125" style="153" customWidth="1"/>
    <col min="25" max="25" width="24.140625" style="153" hidden="1" customWidth="1"/>
    <col min="26" max="26" width="20.42578125" style="153" hidden="1" customWidth="1"/>
    <col min="27" max="27" width="15.85546875" style="153" bestFit="1" customWidth="1"/>
    <col min="28" max="28" width="12.28515625" style="153" bestFit="1" customWidth="1"/>
    <col min="29" max="29" width="21.28515625" style="153" bestFit="1" customWidth="1"/>
    <col min="30" max="30" width="9.140625" style="153"/>
    <col min="31" max="31" width="15.140625" style="153" hidden="1" customWidth="1"/>
    <col min="32" max="16384" width="9.140625" style="153"/>
  </cols>
  <sheetData>
    <row r="1" spans="1:39" ht="30" customHeight="1" x14ac:dyDescent="0.2">
      <c r="A1" s="185" t="s">
        <v>238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</row>
    <row r="2" spans="1:39" ht="18.75" x14ac:dyDescent="0.3">
      <c r="A2" s="18" t="s">
        <v>47</v>
      </c>
      <c r="B2" s="154"/>
      <c r="C2" s="154"/>
      <c r="D2" s="75"/>
      <c r="E2" s="154"/>
      <c r="F2" s="75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75"/>
      <c r="R2" s="75"/>
      <c r="V2" s="75"/>
      <c r="W2" s="3" t="s">
        <v>13</v>
      </c>
      <c r="X2" s="3"/>
    </row>
    <row r="3" spans="1:39" s="50" customFormat="1" ht="15" customHeight="1" x14ac:dyDescent="0.25">
      <c r="A3" s="192" t="s">
        <v>0</v>
      </c>
      <c r="B3" s="193" t="s">
        <v>1</v>
      </c>
      <c r="C3" s="193" t="s">
        <v>2</v>
      </c>
      <c r="D3" s="190" t="s">
        <v>135</v>
      </c>
      <c r="E3" s="190" t="s">
        <v>136</v>
      </c>
      <c r="F3" s="190" t="s">
        <v>234</v>
      </c>
      <c r="G3" s="190" t="s">
        <v>63</v>
      </c>
      <c r="H3" s="190" t="s">
        <v>150</v>
      </c>
      <c r="I3" s="190" t="s">
        <v>158</v>
      </c>
      <c r="J3" s="190" t="s">
        <v>165</v>
      </c>
      <c r="K3" s="190" t="s">
        <v>168</v>
      </c>
      <c r="L3" s="190" t="s">
        <v>169</v>
      </c>
      <c r="M3" s="190" t="s">
        <v>172</v>
      </c>
      <c r="N3" s="190" t="s">
        <v>181</v>
      </c>
      <c r="O3" s="190" t="s">
        <v>182</v>
      </c>
      <c r="P3" s="190" t="s">
        <v>189</v>
      </c>
      <c r="Q3" s="190" t="s">
        <v>196</v>
      </c>
      <c r="R3" s="190" t="s">
        <v>198</v>
      </c>
      <c r="S3" s="190" t="s">
        <v>199</v>
      </c>
      <c r="T3" s="190" t="s">
        <v>3</v>
      </c>
      <c r="U3" s="191" t="s">
        <v>197</v>
      </c>
      <c r="V3" s="190" t="s">
        <v>200</v>
      </c>
      <c r="W3" s="190" t="s">
        <v>201</v>
      </c>
      <c r="X3" s="190" t="s">
        <v>3</v>
      </c>
    </row>
    <row r="4" spans="1:39" s="50" customFormat="1" ht="107.25" customHeight="1" x14ac:dyDescent="0.25">
      <c r="A4" s="192"/>
      <c r="B4" s="193"/>
      <c r="C4" s="193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1"/>
      <c r="V4" s="190"/>
      <c r="W4" s="190"/>
      <c r="X4" s="190"/>
    </row>
    <row r="5" spans="1:39" s="53" customFormat="1" ht="20.25" x14ac:dyDescent="0.2">
      <c r="A5" s="51" t="s">
        <v>4</v>
      </c>
      <c r="B5" s="136" t="s">
        <v>5</v>
      </c>
      <c r="C5" s="136">
        <f>B5+1</f>
        <v>3</v>
      </c>
      <c r="D5" s="136">
        <f t="shared" ref="D5:L5" si="0">C5+1</f>
        <v>4</v>
      </c>
      <c r="E5" s="136">
        <f t="shared" si="0"/>
        <v>5</v>
      </c>
      <c r="F5" s="136">
        <f t="shared" si="0"/>
        <v>6</v>
      </c>
      <c r="G5" s="136">
        <f t="shared" si="0"/>
        <v>7</v>
      </c>
      <c r="H5" s="136">
        <f t="shared" si="0"/>
        <v>8</v>
      </c>
      <c r="I5" s="136">
        <f t="shared" si="0"/>
        <v>9</v>
      </c>
      <c r="J5" s="136">
        <f t="shared" si="0"/>
        <v>10</v>
      </c>
      <c r="K5" s="136">
        <f t="shared" si="0"/>
        <v>11</v>
      </c>
      <c r="L5" s="136">
        <f t="shared" si="0"/>
        <v>12</v>
      </c>
      <c r="M5" s="136">
        <f t="shared" ref="M5" si="1">L5+1</f>
        <v>13</v>
      </c>
      <c r="N5" s="136">
        <f t="shared" ref="N5" si="2">M5+1</f>
        <v>14</v>
      </c>
      <c r="O5" s="136">
        <f t="shared" ref="O5" si="3">N5+1</f>
        <v>15</v>
      </c>
      <c r="P5" s="136">
        <f t="shared" ref="P5" si="4">O5+1</f>
        <v>16</v>
      </c>
      <c r="Q5" s="136">
        <f t="shared" ref="Q5" si="5">P5+1</f>
        <v>17</v>
      </c>
      <c r="R5" s="136">
        <v>7</v>
      </c>
      <c r="S5" s="136">
        <f t="shared" ref="S5" si="6">R5+1</f>
        <v>8</v>
      </c>
      <c r="T5" s="136">
        <f t="shared" ref="T5" si="7">S5+1</f>
        <v>9</v>
      </c>
      <c r="U5" s="136">
        <f t="shared" ref="U5" si="8">T5+1</f>
        <v>10</v>
      </c>
      <c r="V5" s="136">
        <f t="shared" ref="V5" si="9">U5+1</f>
        <v>11</v>
      </c>
      <c r="W5" s="136">
        <f t="shared" ref="W5" si="10">V5+1</f>
        <v>12</v>
      </c>
      <c r="X5" s="136">
        <f t="shared" ref="X5" si="11">W5+1</f>
        <v>13</v>
      </c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</row>
    <row r="6" spans="1:39" s="54" customFormat="1" ht="26.25" customHeight="1" x14ac:dyDescent="0.2">
      <c r="A6" s="186" t="s">
        <v>6</v>
      </c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</row>
    <row r="7" spans="1:39" s="139" customFormat="1" ht="36.75" customHeight="1" x14ac:dyDescent="0.25">
      <c r="A7" s="137">
        <v>1</v>
      </c>
      <c r="B7" s="61" t="s">
        <v>65</v>
      </c>
      <c r="C7" s="138" t="s">
        <v>14</v>
      </c>
      <c r="D7" s="142">
        <v>2398057.0789999999</v>
      </c>
      <c r="E7" s="142">
        <v>2398057.0789999999</v>
      </c>
      <c r="F7" s="142">
        <f t="shared" ref="F7:F13" si="12">SUM(G7:Q7)</f>
        <v>2114368.5240000002</v>
      </c>
      <c r="G7" s="142">
        <v>146999.421</v>
      </c>
      <c r="H7" s="142">
        <v>179706.05300000001</v>
      </c>
      <c r="I7" s="142">
        <v>188112.742</v>
      </c>
      <c r="J7" s="142">
        <v>196904.038</v>
      </c>
      <c r="K7" s="142">
        <v>184793.12400000001</v>
      </c>
      <c r="L7" s="142">
        <v>216858.70499999999</v>
      </c>
      <c r="M7" s="142">
        <v>196563.59700000001</v>
      </c>
      <c r="N7" s="142">
        <v>190260.019</v>
      </c>
      <c r="O7" s="142">
        <v>197766.72500000001</v>
      </c>
      <c r="P7" s="142">
        <v>207645.22200000001</v>
      </c>
      <c r="Q7" s="142">
        <v>208758.878</v>
      </c>
      <c r="R7" s="143">
        <v>2080769.675</v>
      </c>
      <c r="S7" s="144">
        <f t="shared" ref="S7:S38" si="13">F7-R7</f>
        <v>33598.849000000162</v>
      </c>
      <c r="T7" s="145">
        <f t="shared" ref="T7:T23" si="14">F7/R7*100</f>
        <v>101.61473176986782</v>
      </c>
      <c r="U7" s="145">
        <f t="shared" ref="U7:U23" si="15">F7/E7*100</f>
        <v>88.170066614165037</v>
      </c>
      <c r="V7" s="142">
        <v>1740543.1370000003</v>
      </c>
      <c r="W7" s="144">
        <f t="shared" ref="W7:W38" si="16">F7-V7</f>
        <v>373825.38699999987</v>
      </c>
      <c r="X7" s="145">
        <f>F7/V7*100</f>
        <v>121.47751348721671</v>
      </c>
      <c r="Y7" s="55"/>
      <c r="Z7" s="55"/>
      <c r="AA7" s="55">
        <f>Y7-Z7</f>
        <v>0</v>
      </c>
      <c r="AB7" s="56" t="e">
        <f>Y7/Z7*100</f>
        <v>#DIV/0!</v>
      </c>
    </row>
    <row r="8" spans="1:39" s="139" customFormat="1" ht="39" x14ac:dyDescent="0.25">
      <c r="A8" s="137">
        <f>A7+1</f>
        <v>2</v>
      </c>
      <c r="B8" s="61" t="s">
        <v>35</v>
      </c>
      <c r="C8" s="138" t="s">
        <v>16</v>
      </c>
      <c r="D8" s="142">
        <v>1100</v>
      </c>
      <c r="E8" s="142">
        <v>1100</v>
      </c>
      <c r="F8" s="142">
        <f t="shared" si="12"/>
        <v>979.47700000000009</v>
      </c>
      <c r="G8" s="142">
        <v>70</v>
      </c>
      <c r="H8" s="142">
        <v>377.19400000000002</v>
      </c>
      <c r="I8" s="142">
        <v>102.018</v>
      </c>
      <c r="J8" s="142">
        <v>56.6</v>
      </c>
      <c r="K8" s="142">
        <v>69.45</v>
      </c>
      <c r="L8" s="142">
        <v>0</v>
      </c>
      <c r="M8" s="142">
        <v>23.594999999999999</v>
      </c>
      <c r="N8" s="142">
        <v>88.373999999999995</v>
      </c>
      <c r="O8" s="142">
        <v>0</v>
      </c>
      <c r="P8" s="142">
        <v>0</v>
      </c>
      <c r="Q8" s="142">
        <v>192.24600000000001</v>
      </c>
      <c r="R8" s="143">
        <v>975</v>
      </c>
      <c r="S8" s="144">
        <f t="shared" si="13"/>
        <v>4.4770000000000891</v>
      </c>
      <c r="T8" s="145">
        <f t="shared" si="14"/>
        <v>100.45917948717951</v>
      </c>
      <c r="U8" s="145">
        <f t="shared" si="15"/>
        <v>89.043363636363651</v>
      </c>
      <c r="V8" s="142">
        <v>1086.819</v>
      </c>
      <c r="W8" s="144">
        <f t="shared" si="16"/>
        <v>-107.34199999999987</v>
      </c>
      <c r="X8" s="145">
        <f>F8/V8*100</f>
        <v>90.12328639819512</v>
      </c>
      <c r="Y8" s="55"/>
      <c r="Z8" s="55"/>
      <c r="AA8" s="55">
        <f>V7/0.5</f>
        <v>3481086.2740000007</v>
      </c>
      <c r="AB8" s="56">
        <f>Z8/AA8*100</f>
        <v>0</v>
      </c>
    </row>
    <row r="9" spans="1:39" s="139" customFormat="1" ht="23.25" x14ac:dyDescent="0.25">
      <c r="A9" s="137">
        <v>3</v>
      </c>
      <c r="B9" s="61" t="s">
        <v>108</v>
      </c>
      <c r="C9" s="138" t="s">
        <v>109</v>
      </c>
      <c r="D9" s="142">
        <f>SUM(D11:D13)</f>
        <v>506.88</v>
      </c>
      <c r="E9" s="142">
        <f>SUM(E10:E13)</f>
        <v>515.38</v>
      </c>
      <c r="F9" s="142">
        <f t="shared" si="12"/>
        <v>470.89699999999999</v>
      </c>
      <c r="G9" s="142">
        <f t="shared" ref="G9:R9" si="17">SUM(G10:G13)</f>
        <v>0.54200000000000004</v>
      </c>
      <c r="H9" s="142">
        <f t="shared" si="17"/>
        <v>122.20099999999999</v>
      </c>
      <c r="I9" s="142">
        <f t="shared" si="17"/>
        <v>2.044</v>
      </c>
      <c r="J9" s="142">
        <f t="shared" si="17"/>
        <v>2.8140000000000001</v>
      </c>
      <c r="K9" s="142">
        <f t="shared" ref="K9:P9" si="18">SUM(K10:K13)</f>
        <v>85.728000000000009</v>
      </c>
      <c r="L9" s="142">
        <f t="shared" si="18"/>
        <v>0</v>
      </c>
      <c r="M9" s="142">
        <f t="shared" si="18"/>
        <v>47.101999999999997</v>
      </c>
      <c r="N9" s="142">
        <f t="shared" si="18"/>
        <v>81.548000000000002</v>
      </c>
      <c r="O9" s="142">
        <f t="shared" si="18"/>
        <v>8.6999999999999994E-2</v>
      </c>
      <c r="P9" s="142">
        <f t="shared" si="18"/>
        <v>1.095</v>
      </c>
      <c r="Q9" s="142">
        <f t="shared" si="17"/>
        <v>127.73599999999999</v>
      </c>
      <c r="R9" s="143">
        <f t="shared" si="17"/>
        <v>467.55499999999995</v>
      </c>
      <c r="S9" s="144">
        <f t="shared" si="13"/>
        <v>3.3420000000000414</v>
      </c>
      <c r="T9" s="145">
        <f t="shared" si="14"/>
        <v>100.71478221813477</v>
      </c>
      <c r="U9" s="145">
        <f t="shared" si="15"/>
        <v>91.368892855756911</v>
      </c>
      <c r="V9" s="142">
        <f>SUM(V10:V13)</f>
        <v>428.03399999999999</v>
      </c>
      <c r="W9" s="144">
        <f t="shared" si="16"/>
        <v>42.863</v>
      </c>
      <c r="X9" s="145">
        <f>F9/V9*100</f>
        <v>110.01392412752257</v>
      </c>
      <c r="Y9" s="55"/>
      <c r="Z9" s="55"/>
      <c r="AA9" s="55"/>
      <c r="AB9" s="56"/>
    </row>
    <row r="10" spans="1:39" s="60" customFormat="1" ht="58.5" x14ac:dyDescent="0.25">
      <c r="A10" s="57" t="s">
        <v>110</v>
      </c>
      <c r="B10" s="122" t="s">
        <v>152</v>
      </c>
      <c r="C10" s="49" t="s">
        <v>151</v>
      </c>
      <c r="D10" s="146">
        <v>0</v>
      </c>
      <c r="E10" s="146">
        <f>8.5+14</f>
        <v>22.5</v>
      </c>
      <c r="F10" s="146">
        <f t="shared" si="12"/>
        <v>22.167000000000002</v>
      </c>
      <c r="G10" s="146">
        <v>0</v>
      </c>
      <c r="H10" s="146">
        <v>8.5120000000000005</v>
      </c>
      <c r="I10" s="146">
        <v>0</v>
      </c>
      <c r="J10" s="146">
        <v>0</v>
      </c>
      <c r="K10" s="146">
        <v>4.5519999999999996</v>
      </c>
      <c r="L10" s="146">
        <v>0</v>
      </c>
      <c r="M10" s="146">
        <v>0</v>
      </c>
      <c r="N10" s="146">
        <v>4.5510000000000002</v>
      </c>
      <c r="O10" s="146">
        <v>0</v>
      </c>
      <c r="P10" s="146">
        <v>0</v>
      </c>
      <c r="Q10" s="146">
        <v>4.5519999999999996</v>
      </c>
      <c r="R10" s="91">
        <v>22.1</v>
      </c>
      <c r="S10" s="92">
        <f t="shared" si="13"/>
        <v>6.7000000000000171E-2</v>
      </c>
      <c r="T10" s="147">
        <f t="shared" si="14"/>
        <v>100.30316742081449</v>
      </c>
      <c r="U10" s="147">
        <f t="shared" si="15"/>
        <v>98.52000000000001</v>
      </c>
      <c r="V10" s="146">
        <v>0</v>
      </c>
      <c r="W10" s="92">
        <f t="shared" si="16"/>
        <v>22.167000000000002</v>
      </c>
      <c r="X10" s="147"/>
    </row>
    <row r="11" spans="1:39" s="60" customFormat="1" ht="78" x14ac:dyDescent="0.25">
      <c r="A11" s="57" t="s">
        <v>111</v>
      </c>
      <c r="B11" s="122" t="s">
        <v>102</v>
      </c>
      <c r="C11" s="49" t="s">
        <v>103</v>
      </c>
      <c r="D11" s="146">
        <v>166.79</v>
      </c>
      <c r="E11" s="146">
        <v>166.79</v>
      </c>
      <c r="F11" s="146">
        <f t="shared" si="12"/>
        <v>154.51300000000001</v>
      </c>
      <c r="G11" s="146">
        <v>0</v>
      </c>
      <c r="H11" s="146">
        <v>53.468000000000004</v>
      </c>
      <c r="I11" s="146">
        <v>0</v>
      </c>
      <c r="J11" s="146">
        <v>0</v>
      </c>
      <c r="K11" s="146">
        <v>14.064</v>
      </c>
      <c r="L11" s="146">
        <v>0</v>
      </c>
      <c r="M11" s="146">
        <v>45.820999999999998</v>
      </c>
      <c r="N11" s="146">
        <v>2.2989999999999999</v>
      </c>
      <c r="O11" s="146">
        <v>0</v>
      </c>
      <c r="P11" s="146">
        <v>0</v>
      </c>
      <c r="Q11" s="146">
        <v>38.860999999999997</v>
      </c>
      <c r="R11" s="91">
        <v>153.79</v>
      </c>
      <c r="S11" s="92">
        <f t="shared" si="13"/>
        <v>0.72300000000001319</v>
      </c>
      <c r="T11" s="147">
        <f t="shared" si="14"/>
        <v>100.47012159438195</v>
      </c>
      <c r="U11" s="147">
        <f t="shared" si="15"/>
        <v>92.639246957251643</v>
      </c>
      <c r="V11" s="146">
        <v>98.435999999999993</v>
      </c>
      <c r="W11" s="92">
        <f t="shared" si="16"/>
        <v>56.077000000000012</v>
      </c>
      <c r="X11" s="147">
        <f t="shared" ref="X11:X23" si="19">F11/V11*100</f>
        <v>156.9679791946036</v>
      </c>
    </row>
    <row r="12" spans="1:39" s="60" customFormat="1" ht="39" x14ac:dyDescent="0.25">
      <c r="A12" s="57" t="s">
        <v>112</v>
      </c>
      <c r="B12" s="122" t="s">
        <v>139</v>
      </c>
      <c r="C12" s="49" t="s">
        <v>107</v>
      </c>
      <c r="D12" s="146">
        <v>82.45</v>
      </c>
      <c r="E12" s="146">
        <v>82.45</v>
      </c>
      <c r="F12" s="146">
        <f t="shared" si="12"/>
        <v>81.351000000000013</v>
      </c>
      <c r="G12" s="146">
        <v>0.54200000000000004</v>
      </c>
      <c r="H12" s="146">
        <v>16.193000000000001</v>
      </c>
      <c r="I12" s="146">
        <v>4.4999999999999998E-2</v>
      </c>
      <c r="J12" s="146">
        <v>2.8140000000000001</v>
      </c>
      <c r="K12" s="146">
        <v>12.21</v>
      </c>
      <c r="L12" s="146">
        <v>0</v>
      </c>
      <c r="M12" s="146">
        <v>1.2809999999999999</v>
      </c>
      <c r="N12" s="146">
        <v>23.024999999999999</v>
      </c>
      <c r="O12" s="146">
        <v>8.6999999999999994E-2</v>
      </c>
      <c r="P12" s="146">
        <v>1.095</v>
      </c>
      <c r="Q12" s="146">
        <v>24.059000000000001</v>
      </c>
      <c r="R12" s="91">
        <v>79.025000000000006</v>
      </c>
      <c r="S12" s="92">
        <f t="shared" si="13"/>
        <v>2.3260000000000076</v>
      </c>
      <c r="T12" s="147">
        <f t="shared" si="14"/>
        <v>102.943372350522</v>
      </c>
      <c r="U12" s="147">
        <f t="shared" si="15"/>
        <v>98.667070952092189</v>
      </c>
      <c r="V12" s="146">
        <v>79.691999999999993</v>
      </c>
      <c r="W12" s="92">
        <f t="shared" si="16"/>
        <v>1.6590000000000202</v>
      </c>
      <c r="X12" s="147">
        <f t="shared" si="19"/>
        <v>102.08176479445869</v>
      </c>
    </row>
    <row r="13" spans="1:39" s="60" customFormat="1" ht="39" x14ac:dyDescent="0.25">
      <c r="A13" s="57" t="s">
        <v>153</v>
      </c>
      <c r="B13" s="122" t="s">
        <v>138</v>
      </c>
      <c r="C13" s="49" t="s">
        <v>137</v>
      </c>
      <c r="D13" s="146">
        <v>257.64</v>
      </c>
      <c r="E13" s="146">
        <f>257.64-14</f>
        <v>243.64</v>
      </c>
      <c r="F13" s="146">
        <f t="shared" si="12"/>
        <v>212.86600000000001</v>
      </c>
      <c r="G13" s="146">
        <v>0</v>
      </c>
      <c r="H13" s="146">
        <v>44.027999999999999</v>
      </c>
      <c r="I13" s="146">
        <v>1.9990000000000001</v>
      </c>
      <c r="J13" s="146">
        <v>0</v>
      </c>
      <c r="K13" s="146">
        <v>54.902000000000001</v>
      </c>
      <c r="L13" s="146">
        <v>0</v>
      </c>
      <c r="M13" s="146">
        <v>0</v>
      </c>
      <c r="N13" s="146">
        <v>51.673000000000002</v>
      </c>
      <c r="O13" s="146">
        <v>0</v>
      </c>
      <c r="P13" s="146">
        <v>0</v>
      </c>
      <c r="Q13" s="146">
        <v>60.264000000000003</v>
      </c>
      <c r="R13" s="91">
        <v>212.64</v>
      </c>
      <c r="S13" s="92">
        <f t="shared" si="13"/>
        <v>0.22600000000002751</v>
      </c>
      <c r="T13" s="147">
        <f t="shared" si="14"/>
        <v>100.10628291948835</v>
      </c>
      <c r="U13" s="147">
        <f t="shared" si="15"/>
        <v>87.369069118371385</v>
      </c>
      <c r="V13" s="146">
        <v>249.90600000000001</v>
      </c>
      <c r="W13" s="92">
        <f t="shared" si="16"/>
        <v>-37.039999999999992</v>
      </c>
      <c r="X13" s="147">
        <f t="shared" si="19"/>
        <v>85.178427088585309</v>
      </c>
    </row>
    <row r="14" spans="1:39" s="139" customFormat="1" ht="23.25" x14ac:dyDescent="0.25">
      <c r="A14" s="137">
        <v>4</v>
      </c>
      <c r="B14" s="80" t="s">
        <v>89</v>
      </c>
      <c r="C14" s="76" t="s">
        <v>88</v>
      </c>
      <c r="D14" s="142">
        <f>SUM(D15:D17)</f>
        <v>247766</v>
      </c>
      <c r="E14" s="142">
        <f>SUM(E15:E17)</f>
        <v>247766</v>
      </c>
      <c r="F14" s="142">
        <f t="shared" ref="F14:F86" si="20">SUM(G14:Q14)</f>
        <v>243285.67199999996</v>
      </c>
      <c r="G14" s="142">
        <f t="shared" ref="G14:R14" si="21">SUM(G15:G17)</f>
        <v>9113.7909999999993</v>
      </c>
      <c r="H14" s="142">
        <f t="shared" ref="H14:P14" si="22">SUM(H15:H17)</f>
        <v>6708.6930000000002</v>
      </c>
      <c r="I14" s="142">
        <f t="shared" si="22"/>
        <v>36301.611000000004</v>
      </c>
      <c r="J14" s="142">
        <f t="shared" si="22"/>
        <v>18813.798999999999</v>
      </c>
      <c r="K14" s="142">
        <f t="shared" si="22"/>
        <v>19997.205999999998</v>
      </c>
      <c r="L14" s="142">
        <f t="shared" si="22"/>
        <v>20472.231999999996</v>
      </c>
      <c r="M14" s="142">
        <f t="shared" si="22"/>
        <v>12117.133</v>
      </c>
      <c r="N14" s="142">
        <f t="shared" si="22"/>
        <v>13721.071</v>
      </c>
      <c r="O14" s="142">
        <f t="shared" si="22"/>
        <v>18065.900000000001</v>
      </c>
      <c r="P14" s="142">
        <f t="shared" si="22"/>
        <v>61617.557999999997</v>
      </c>
      <c r="Q14" s="142">
        <f t="shared" si="21"/>
        <v>26356.678</v>
      </c>
      <c r="R14" s="143">
        <f t="shared" si="21"/>
        <v>230843.62300000002</v>
      </c>
      <c r="S14" s="144">
        <f t="shared" si="13"/>
        <v>12442.048999999941</v>
      </c>
      <c r="T14" s="145">
        <f t="shared" si="14"/>
        <v>105.38981707110008</v>
      </c>
      <c r="U14" s="145">
        <f t="shared" si="15"/>
        <v>98.191709919843703</v>
      </c>
      <c r="V14" s="142">
        <f t="shared" ref="V14" si="23">SUM(V15:V17)</f>
        <v>213126.89600000001</v>
      </c>
      <c r="W14" s="144">
        <f t="shared" si="16"/>
        <v>30158.775999999954</v>
      </c>
      <c r="X14" s="145">
        <f t="shared" si="19"/>
        <v>114.1506194506769</v>
      </c>
    </row>
    <row r="15" spans="1:39" s="60" customFormat="1" ht="39" x14ac:dyDescent="0.25">
      <c r="A15" s="57" t="s">
        <v>125</v>
      </c>
      <c r="B15" s="122" t="s">
        <v>95</v>
      </c>
      <c r="C15" s="49" t="s">
        <v>86</v>
      </c>
      <c r="D15" s="146">
        <v>25500</v>
      </c>
      <c r="E15" s="146">
        <v>25500</v>
      </c>
      <c r="F15" s="146">
        <f>SUM(G15:Q15)</f>
        <v>28431.796999999999</v>
      </c>
      <c r="G15" s="146">
        <v>0</v>
      </c>
      <c r="H15" s="146">
        <v>0</v>
      </c>
      <c r="I15" s="146">
        <v>6236.9179999999997</v>
      </c>
      <c r="J15" s="146">
        <v>2120.248</v>
      </c>
      <c r="K15" s="146">
        <v>2421.9479999999999</v>
      </c>
      <c r="L15" s="146">
        <v>2577.42</v>
      </c>
      <c r="M15" s="146">
        <v>0</v>
      </c>
      <c r="N15" s="146">
        <v>0</v>
      </c>
      <c r="O15" s="146">
        <v>0</v>
      </c>
      <c r="P15" s="146">
        <v>12310.704</v>
      </c>
      <c r="Q15" s="146">
        <v>2764.5590000000002</v>
      </c>
      <c r="R15" s="91">
        <v>25500</v>
      </c>
      <c r="S15" s="92">
        <f t="shared" si="13"/>
        <v>2931.7969999999987</v>
      </c>
      <c r="T15" s="147">
        <f t="shared" si="14"/>
        <v>111.49724313725488</v>
      </c>
      <c r="U15" s="147">
        <f t="shared" si="15"/>
        <v>111.49724313725488</v>
      </c>
      <c r="V15" s="146">
        <v>22464.317999999999</v>
      </c>
      <c r="W15" s="92">
        <f t="shared" si="16"/>
        <v>5967.4789999999994</v>
      </c>
      <c r="X15" s="147">
        <f t="shared" si="19"/>
        <v>126.5642562574123</v>
      </c>
      <c r="Y15" s="58">
        <f>V15+V16</f>
        <v>101123.28000000001</v>
      </c>
      <c r="Z15" s="58">
        <f>F15+F16</f>
        <v>122379.18100000001</v>
      </c>
    </row>
    <row r="16" spans="1:39" s="60" customFormat="1" ht="39" x14ac:dyDescent="0.25">
      <c r="A16" s="57" t="s">
        <v>126</v>
      </c>
      <c r="B16" s="122" t="s">
        <v>96</v>
      </c>
      <c r="C16" s="49" t="s">
        <v>87</v>
      </c>
      <c r="D16" s="146">
        <v>87500</v>
      </c>
      <c r="E16" s="146">
        <v>87500</v>
      </c>
      <c r="F16" s="146">
        <f t="shared" si="20"/>
        <v>93947.384000000005</v>
      </c>
      <c r="G16" s="146">
        <v>0</v>
      </c>
      <c r="H16" s="146">
        <v>0</v>
      </c>
      <c r="I16" s="146">
        <v>21013.128000000001</v>
      </c>
      <c r="J16" s="146">
        <v>8063.9430000000002</v>
      </c>
      <c r="K16" s="146">
        <v>8167.2610000000004</v>
      </c>
      <c r="L16" s="146">
        <v>8116.9859999999999</v>
      </c>
      <c r="M16" s="146">
        <v>0</v>
      </c>
      <c r="N16" s="146">
        <v>0</v>
      </c>
      <c r="O16" s="146">
        <v>0</v>
      </c>
      <c r="P16" s="146">
        <v>38262.195</v>
      </c>
      <c r="Q16" s="146">
        <v>10323.870999999999</v>
      </c>
      <c r="R16" s="91">
        <v>87500</v>
      </c>
      <c r="S16" s="92">
        <f t="shared" si="13"/>
        <v>6447.3840000000055</v>
      </c>
      <c r="T16" s="147">
        <f t="shared" si="14"/>
        <v>107.36843885714286</v>
      </c>
      <c r="U16" s="147">
        <f t="shared" si="15"/>
        <v>107.36843885714286</v>
      </c>
      <c r="V16" s="146">
        <v>78658.962000000014</v>
      </c>
      <c r="W16" s="92">
        <f t="shared" si="16"/>
        <v>15288.421999999991</v>
      </c>
      <c r="X16" s="147">
        <f t="shared" si="19"/>
        <v>119.43633835391825</v>
      </c>
    </row>
    <row r="17" spans="1:27" s="60" customFormat="1" ht="39" x14ac:dyDescent="0.25">
      <c r="A17" s="57" t="s">
        <v>127</v>
      </c>
      <c r="B17" s="122" t="s">
        <v>97</v>
      </c>
      <c r="C17" s="49" t="s">
        <v>56</v>
      </c>
      <c r="D17" s="146">
        <v>134766</v>
      </c>
      <c r="E17" s="146">
        <v>134766</v>
      </c>
      <c r="F17" s="146">
        <f t="shared" si="20"/>
        <v>120906.49100000001</v>
      </c>
      <c r="G17" s="146">
        <v>9113.7909999999993</v>
      </c>
      <c r="H17" s="146">
        <v>6708.6930000000002</v>
      </c>
      <c r="I17" s="146">
        <v>9051.5650000000005</v>
      </c>
      <c r="J17" s="146">
        <v>8629.6080000000002</v>
      </c>
      <c r="K17" s="146">
        <v>9407.9969999999994</v>
      </c>
      <c r="L17" s="146">
        <v>9777.8259999999991</v>
      </c>
      <c r="M17" s="146">
        <v>12117.133</v>
      </c>
      <c r="N17" s="146">
        <v>13721.071</v>
      </c>
      <c r="O17" s="146">
        <v>18065.900000000001</v>
      </c>
      <c r="P17" s="146">
        <v>11044.659</v>
      </c>
      <c r="Q17" s="146">
        <v>13268.248</v>
      </c>
      <c r="R17" s="91">
        <v>117843.62300000001</v>
      </c>
      <c r="S17" s="92">
        <f t="shared" si="13"/>
        <v>3062.8680000000022</v>
      </c>
      <c r="T17" s="147">
        <f t="shared" si="14"/>
        <v>102.59909524336332</v>
      </c>
      <c r="U17" s="147">
        <f t="shared" si="15"/>
        <v>89.715871213807645</v>
      </c>
      <c r="V17" s="146">
        <v>112003.61599999999</v>
      </c>
      <c r="W17" s="92">
        <f t="shared" si="16"/>
        <v>8902.8750000000146</v>
      </c>
      <c r="X17" s="147">
        <f t="shared" si="19"/>
        <v>107.94873890500108</v>
      </c>
    </row>
    <row r="18" spans="1:27" s="81" customFormat="1" ht="39" x14ac:dyDescent="0.25">
      <c r="A18" s="137">
        <v>5</v>
      </c>
      <c r="B18" s="61" t="s">
        <v>140</v>
      </c>
      <c r="C18" s="138" t="s">
        <v>37</v>
      </c>
      <c r="D18" s="142">
        <f>D19+D20+D21+D23+D22</f>
        <v>1024661.45</v>
      </c>
      <c r="E18" s="142">
        <f>E19+E20+E21+E23+E22</f>
        <v>1024140.45</v>
      </c>
      <c r="F18" s="142">
        <f t="shared" si="20"/>
        <v>918671.22899999993</v>
      </c>
      <c r="G18" s="142">
        <f t="shared" ref="G18:R18" si="24">G19+G20+G21+G23+G22</f>
        <v>75712.956999999995</v>
      </c>
      <c r="H18" s="142">
        <f t="shared" ref="H18:P18" si="25">H19+H20+H21+H23+H22</f>
        <v>111045.806</v>
      </c>
      <c r="I18" s="142">
        <f t="shared" si="25"/>
        <v>44534.228999999999</v>
      </c>
      <c r="J18" s="142">
        <f t="shared" si="25"/>
        <v>86744.623999999996</v>
      </c>
      <c r="K18" s="142">
        <f t="shared" si="25"/>
        <v>95406.558000000005</v>
      </c>
      <c r="L18" s="142">
        <f t="shared" si="25"/>
        <v>48319.159</v>
      </c>
      <c r="M18" s="142">
        <f t="shared" si="25"/>
        <v>105793.67499999999</v>
      </c>
      <c r="N18" s="142">
        <f t="shared" si="25"/>
        <v>96725.224999999991</v>
      </c>
      <c r="O18" s="142">
        <f t="shared" si="25"/>
        <v>45178.220999999998</v>
      </c>
      <c r="P18" s="142">
        <f t="shared" si="25"/>
        <v>97496.802000000011</v>
      </c>
      <c r="Q18" s="142">
        <f t="shared" si="24"/>
        <v>111713.973</v>
      </c>
      <c r="R18" s="143">
        <f t="shared" si="24"/>
        <v>908248.95200000005</v>
      </c>
      <c r="S18" s="144">
        <f t="shared" si="13"/>
        <v>10422.276999999885</v>
      </c>
      <c r="T18" s="145">
        <f t="shared" si="14"/>
        <v>101.14751324260267</v>
      </c>
      <c r="U18" s="145">
        <f t="shared" si="15"/>
        <v>89.701683885252265</v>
      </c>
      <c r="V18" s="142">
        <f>V19+V20+V21+V23+V22</f>
        <v>782280.25100000016</v>
      </c>
      <c r="W18" s="144">
        <f t="shared" si="16"/>
        <v>136390.97799999977</v>
      </c>
      <c r="X18" s="145">
        <f t="shared" si="19"/>
        <v>117.43505320831622</v>
      </c>
      <c r="Y18" s="100">
        <f>V20+V21+V19</f>
        <v>272362.69700000004</v>
      </c>
      <c r="Z18" s="100">
        <f>F19+F20+F21</f>
        <v>308563.158</v>
      </c>
    </row>
    <row r="19" spans="1:27" s="83" customFormat="1" ht="23.25" x14ac:dyDescent="0.25">
      <c r="A19" s="82" t="s">
        <v>142</v>
      </c>
      <c r="B19" s="123" t="s">
        <v>57</v>
      </c>
      <c r="C19" s="194" t="s">
        <v>43</v>
      </c>
      <c r="D19" s="146">
        <f>1213.85+13965.32+18822.08+58666</f>
        <v>92667.25</v>
      </c>
      <c r="E19" s="146">
        <v>92667.25</v>
      </c>
      <c r="F19" s="146">
        <f t="shared" si="20"/>
        <v>94455.620999999999</v>
      </c>
      <c r="G19" s="146">
        <v>9723.7669999999998</v>
      </c>
      <c r="H19" s="146">
        <v>3035.268</v>
      </c>
      <c r="I19" s="146">
        <v>4604.7759999999998</v>
      </c>
      <c r="J19" s="146">
        <v>15771.471</v>
      </c>
      <c r="K19" s="146">
        <v>6016.8990000000003</v>
      </c>
      <c r="L19" s="146">
        <v>6114.5559999999996</v>
      </c>
      <c r="M19" s="146">
        <v>18065.420999999998</v>
      </c>
      <c r="N19" s="146">
        <v>6654.8249999999998</v>
      </c>
      <c r="O19" s="146">
        <v>4877.9009999999998</v>
      </c>
      <c r="P19" s="146">
        <v>15819.74</v>
      </c>
      <c r="Q19" s="146">
        <v>3770.9969999999998</v>
      </c>
      <c r="R19" s="91">
        <v>89451.822</v>
      </c>
      <c r="S19" s="92">
        <f t="shared" si="13"/>
        <v>5003.7989999999991</v>
      </c>
      <c r="T19" s="147">
        <f t="shared" si="14"/>
        <v>105.59384804928848</v>
      </c>
      <c r="U19" s="147">
        <f t="shared" si="15"/>
        <v>101.9298846140357</v>
      </c>
      <c r="V19" s="146">
        <v>70086.19200000001</v>
      </c>
      <c r="W19" s="92">
        <f t="shared" si="16"/>
        <v>24369.428999999989</v>
      </c>
      <c r="X19" s="147">
        <f t="shared" si="19"/>
        <v>134.77065639405831</v>
      </c>
    </row>
    <row r="20" spans="1:27" s="83" customFormat="1" ht="33" customHeight="1" x14ac:dyDescent="0.25">
      <c r="A20" s="57" t="s">
        <v>143</v>
      </c>
      <c r="B20" s="123" t="s">
        <v>7</v>
      </c>
      <c r="C20" s="194"/>
      <c r="D20" s="146">
        <v>300000</v>
      </c>
      <c r="E20" s="146">
        <f>299591.5-402.5-730</f>
        <v>298459</v>
      </c>
      <c r="F20" s="146">
        <f t="shared" si="20"/>
        <v>212594.55700000003</v>
      </c>
      <c r="G20" s="146">
        <v>15633.511</v>
      </c>
      <c r="H20" s="146">
        <v>21109.749</v>
      </c>
      <c r="I20" s="146">
        <v>19376.571</v>
      </c>
      <c r="J20" s="146">
        <v>19580.672999999999</v>
      </c>
      <c r="K20" s="146">
        <v>20458.473999999998</v>
      </c>
      <c r="L20" s="146">
        <v>21838.977999999999</v>
      </c>
      <c r="M20" s="146">
        <v>21325.975999999999</v>
      </c>
      <c r="N20" s="146">
        <v>18748.224999999999</v>
      </c>
      <c r="O20" s="146">
        <v>17704.473000000002</v>
      </c>
      <c r="P20" s="146">
        <v>17494.23</v>
      </c>
      <c r="Q20" s="146">
        <v>19323.697</v>
      </c>
      <c r="R20" s="91">
        <v>209571.15700000001</v>
      </c>
      <c r="S20" s="92">
        <f t="shared" si="13"/>
        <v>3023.4000000000233</v>
      </c>
      <c r="T20" s="147">
        <f t="shared" si="14"/>
        <v>101.44266035616725</v>
      </c>
      <c r="U20" s="147">
        <f t="shared" si="15"/>
        <v>71.230740905786064</v>
      </c>
      <c r="V20" s="146">
        <v>200540.37800000003</v>
      </c>
      <c r="W20" s="92">
        <f t="shared" si="16"/>
        <v>12054.179000000004</v>
      </c>
      <c r="X20" s="147">
        <f t="shared" si="19"/>
        <v>106.01084884760714</v>
      </c>
    </row>
    <row r="21" spans="1:27" s="83" customFormat="1" ht="33" customHeight="1" x14ac:dyDescent="0.25">
      <c r="A21" s="57" t="s">
        <v>144</v>
      </c>
      <c r="B21" s="123" t="s">
        <v>58</v>
      </c>
      <c r="C21" s="194"/>
      <c r="D21" s="146">
        <f>250+225</f>
        <v>475</v>
      </c>
      <c r="E21" s="146">
        <f>865+200+230</f>
        <v>1295</v>
      </c>
      <c r="F21" s="146">
        <f t="shared" si="20"/>
        <v>1512.98</v>
      </c>
      <c r="G21" s="146">
        <v>324.197</v>
      </c>
      <c r="H21" s="146">
        <v>49.052999999999997</v>
      </c>
      <c r="I21" s="146">
        <v>157.625</v>
      </c>
      <c r="J21" s="146">
        <v>242.58</v>
      </c>
      <c r="K21" s="146">
        <v>119.52200000000001</v>
      </c>
      <c r="L21" s="146">
        <v>44.167000000000002</v>
      </c>
      <c r="M21" s="146">
        <v>196.07599999999999</v>
      </c>
      <c r="N21" s="146">
        <v>34.981999999999999</v>
      </c>
      <c r="O21" s="146">
        <v>40.582999999999998</v>
      </c>
      <c r="P21" s="146">
        <v>221.917</v>
      </c>
      <c r="Q21" s="146">
        <v>82.278000000000006</v>
      </c>
      <c r="R21" s="91">
        <v>1295</v>
      </c>
      <c r="S21" s="92">
        <f t="shared" si="13"/>
        <v>217.98000000000002</v>
      </c>
      <c r="T21" s="147">
        <f t="shared" si="14"/>
        <v>116.83243243243244</v>
      </c>
      <c r="U21" s="147">
        <f t="shared" si="15"/>
        <v>116.83243243243244</v>
      </c>
      <c r="V21" s="146">
        <v>1736.127</v>
      </c>
      <c r="W21" s="92">
        <f t="shared" si="16"/>
        <v>-223.14699999999993</v>
      </c>
      <c r="X21" s="147">
        <f t="shared" si="19"/>
        <v>87.146850432024848</v>
      </c>
      <c r="Y21" s="147">
        <f>100-X21</f>
        <v>12.853149567975152</v>
      </c>
      <c r="Z21" s="84"/>
      <c r="AA21" s="85" t="e">
        <f>F19/#REF!*100</f>
        <v>#REF!</v>
      </c>
    </row>
    <row r="22" spans="1:27" s="87" customFormat="1" ht="33" customHeight="1" x14ac:dyDescent="0.25">
      <c r="A22" s="57" t="s">
        <v>145</v>
      </c>
      <c r="B22" s="123" t="s">
        <v>39</v>
      </c>
      <c r="C22" s="86" t="s">
        <v>38</v>
      </c>
      <c r="D22" s="146">
        <v>950</v>
      </c>
      <c r="E22" s="146">
        <f>950+200</f>
        <v>1150</v>
      </c>
      <c r="F22" s="146">
        <f t="shared" si="20"/>
        <v>1816.9340000000002</v>
      </c>
      <c r="G22" s="146">
        <v>59.935000000000002</v>
      </c>
      <c r="H22" s="146">
        <v>134.36000000000001</v>
      </c>
      <c r="I22" s="146">
        <v>29.998000000000001</v>
      </c>
      <c r="J22" s="146">
        <v>85.495000000000005</v>
      </c>
      <c r="K22" s="146">
        <v>203.86</v>
      </c>
      <c r="L22" s="146">
        <v>68.84</v>
      </c>
      <c r="M22" s="146">
        <v>141.779</v>
      </c>
      <c r="N22" s="146">
        <v>260.77800000000002</v>
      </c>
      <c r="O22" s="146">
        <v>101.536</v>
      </c>
      <c r="P22" s="146">
        <v>158.221</v>
      </c>
      <c r="Q22" s="146">
        <v>572.13199999999995</v>
      </c>
      <c r="R22" s="91">
        <v>1150</v>
      </c>
      <c r="S22" s="92">
        <f t="shared" si="13"/>
        <v>666.9340000000002</v>
      </c>
      <c r="T22" s="147">
        <f t="shared" si="14"/>
        <v>157.99426086956524</v>
      </c>
      <c r="U22" s="147">
        <f t="shared" si="15"/>
        <v>157.99426086956524</v>
      </c>
      <c r="V22" s="146">
        <v>894.17199999999991</v>
      </c>
      <c r="W22" s="146">
        <f t="shared" si="16"/>
        <v>922.76200000000028</v>
      </c>
      <c r="X22" s="147">
        <f t="shared" si="19"/>
        <v>203.19737142294775</v>
      </c>
    </row>
    <row r="23" spans="1:27" s="83" customFormat="1" ht="33" customHeight="1" x14ac:dyDescent="0.25">
      <c r="A23" s="57" t="s">
        <v>146</v>
      </c>
      <c r="B23" s="123" t="s">
        <v>32</v>
      </c>
      <c r="C23" s="162" t="s">
        <v>33</v>
      </c>
      <c r="D23" s="146">
        <v>630569.19999999995</v>
      </c>
      <c r="E23" s="146">
        <v>630569.19999999995</v>
      </c>
      <c r="F23" s="146">
        <f t="shared" si="20"/>
        <v>608291.1370000001</v>
      </c>
      <c r="G23" s="146">
        <v>49971.546999999999</v>
      </c>
      <c r="H23" s="146">
        <v>86717.376000000004</v>
      </c>
      <c r="I23" s="146">
        <v>20365.258999999998</v>
      </c>
      <c r="J23" s="146">
        <v>51064.404999999999</v>
      </c>
      <c r="K23" s="146">
        <v>68607.803</v>
      </c>
      <c r="L23" s="146">
        <v>20252.617999999999</v>
      </c>
      <c r="M23" s="146">
        <v>66064.422999999995</v>
      </c>
      <c r="N23" s="146">
        <v>71026.414999999994</v>
      </c>
      <c r="O23" s="146">
        <v>22453.727999999999</v>
      </c>
      <c r="P23" s="146">
        <v>63802.694000000003</v>
      </c>
      <c r="Q23" s="146">
        <v>87964.869000000006</v>
      </c>
      <c r="R23" s="91">
        <v>606780.973</v>
      </c>
      <c r="S23" s="92">
        <f t="shared" si="13"/>
        <v>1510.1640000001062</v>
      </c>
      <c r="T23" s="147">
        <f t="shared" si="14"/>
        <v>100.24888123840365</v>
      </c>
      <c r="U23" s="147">
        <f t="shared" si="15"/>
        <v>96.466991568887309</v>
      </c>
      <c r="V23" s="146">
        <v>509023.38200000004</v>
      </c>
      <c r="W23" s="92">
        <f t="shared" si="16"/>
        <v>99267.755000000063</v>
      </c>
      <c r="X23" s="147">
        <f t="shared" si="19"/>
        <v>119.50161004588196</v>
      </c>
      <c r="Z23" s="84"/>
      <c r="AA23" s="85" t="e">
        <f>F23/#REF!*100</f>
        <v>#REF!</v>
      </c>
    </row>
    <row r="24" spans="1:27" s="81" customFormat="1" ht="33" customHeight="1" x14ac:dyDescent="0.25">
      <c r="A24" s="137">
        <v>6</v>
      </c>
      <c r="B24" s="126" t="s">
        <v>148</v>
      </c>
      <c r="C24" s="138" t="s">
        <v>149</v>
      </c>
      <c r="D24" s="142"/>
      <c r="E24" s="142"/>
      <c r="F24" s="142">
        <f t="shared" si="20"/>
        <v>0</v>
      </c>
      <c r="G24" s="142">
        <v>0</v>
      </c>
      <c r="H24" s="142">
        <v>0</v>
      </c>
      <c r="I24" s="142">
        <v>0</v>
      </c>
      <c r="J24" s="142">
        <v>0</v>
      </c>
      <c r="K24" s="142">
        <v>0</v>
      </c>
      <c r="L24" s="142">
        <v>0</v>
      </c>
      <c r="M24" s="142">
        <v>0</v>
      </c>
      <c r="N24" s="142">
        <v>0</v>
      </c>
      <c r="O24" s="142">
        <v>0</v>
      </c>
      <c r="P24" s="142">
        <v>0</v>
      </c>
      <c r="Q24" s="142">
        <v>0</v>
      </c>
      <c r="R24" s="143"/>
      <c r="S24" s="92">
        <f t="shared" si="13"/>
        <v>0</v>
      </c>
      <c r="T24" s="145"/>
      <c r="U24" s="145"/>
      <c r="V24" s="142">
        <v>-1.8440000000000001</v>
      </c>
      <c r="W24" s="144">
        <f t="shared" si="16"/>
        <v>1.8440000000000001</v>
      </c>
      <c r="X24" s="145"/>
      <c r="Z24" s="100"/>
      <c r="AA24" s="127"/>
    </row>
    <row r="25" spans="1:27" s="139" customFormat="1" ht="58.5" x14ac:dyDescent="0.25">
      <c r="A25" s="137">
        <f>A24+1</f>
        <v>7</v>
      </c>
      <c r="B25" s="61" t="s">
        <v>45</v>
      </c>
      <c r="C25" s="138" t="s">
        <v>17</v>
      </c>
      <c r="D25" s="142">
        <v>450</v>
      </c>
      <c r="E25" s="142">
        <f>450+280</f>
        <v>730</v>
      </c>
      <c r="F25" s="142">
        <f t="shared" si="20"/>
        <v>922.24099999999999</v>
      </c>
      <c r="G25" s="142">
        <v>10</v>
      </c>
      <c r="H25" s="142">
        <v>63.488</v>
      </c>
      <c r="I25" s="142">
        <v>19.899000000000001</v>
      </c>
      <c r="J25" s="142">
        <v>46.183</v>
      </c>
      <c r="K25" s="142">
        <v>83.956999999999994</v>
      </c>
      <c r="L25" s="142">
        <v>0</v>
      </c>
      <c r="M25" s="142">
        <v>23.704000000000001</v>
      </c>
      <c r="N25" s="142">
        <v>356.82100000000003</v>
      </c>
      <c r="O25" s="142">
        <v>6</v>
      </c>
      <c r="P25" s="142">
        <v>0.9</v>
      </c>
      <c r="Q25" s="142">
        <v>311.28899999999999</v>
      </c>
      <c r="R25" s="143">
        <v>730</v>
      </c>
      <c r="S25" s="144">
        <f t="shared" si="13"/>
        <v>192.24099999999999</v>
      </c>
      <c r="T25" s="145">
        <f>F25/R25*100</f>
        <v>126.33438356164383</v>
      </c>
      <c r="U25" s="145">
        <f t="shared" ref="U25:U42" si="26">F25/E25*100</f>
        <v>126.33438356164383</v>
      </c>
      <c r="V25" s="142">
        <v>442.02699999999999</v>
      </c>
      <c r="W25" s="144">
        <f t="shared" si="16"/>
        <v>480.214</v>
      </c>
      <c r="X25" s="145">
        <f t="shared" ref="X25:X31" si="27">F25/V25*100</f>
        <v>208.63906503448882</v>
      </c>
      <c r="Y25" s="56">
        <f>100-X25</f>
        <v>-108.63906503448882</v>
      </c>
    </row>
    <row r="26" spans="1:27" s="139" customFormat="1" ht="33" customHeight="1" x14ac:dyDescent="0.25">
      <c r="A26" s="137">
        <f t="shared" ref="A26:A33" si="28">A25+1</f>
        <v>8</v>
      </c>
      <c r="B26" s="61" t="s">
        <v>70</v>
      </c>
      <c r="C26" s="138" t="s">
        <v>69</v>
      </c>
      <c r="D26" s="142">
        <v>12000</v>
      </c>
      <c r="E26" s="142">
        <v>12000</v>
      </c>
      <c r="F26" s="142">
        <f t="shared" si="20"/>
        <v>16049.280000000002</v>
      </c>
      <c r="G26" s="142">
        <v>432.791</v>
      </c>
      <c r="H26" s="142">
        <v>1371.345</v>
      </c>
      <c r="I26" s="142">
        <v>1459.3430000000001</v>
      </c>
      <c r="J26" s="142">
        <v>1608.9</v>
      </c>
      <c r="K26" s="142">
        <v>1657.4580000000001</v>
      </c>
      <c r="L26" s="142">
        <v>1243.4580000000001</v>
      </c>
      <c r="M26" s="142">
        <v>1327.6010000000001</v>
      </c>
      <c r="N26" s="142">
        <v>1662.588</v>
      </c>
      <c r="O26" s="142">
        <v>1645.6469999999999</v>
      </c>
      <c r="P26" s="142">
        <v>1791.912</v>
      </c>
      <c r="Q26" s="142">
        <v>1848.2370000000001</v>
      </c>
      <c r="R26" s="143">
        <v>12000</v>
      </c>
      <c r="S26" s="144">
        <f t="shared" si="13"/>
        <v>4049.2800000000025</v>
      </c>
      <c r="T26" s="145">
        <f>F26/R26*100</f>
        <v>133.74400000000003</v>
      </c>
      <c r="U26" s="145">
        <f t="shared" si="26"/>
        <v>133.74400000000003</v>
      </c>
      <c r="V26" s="142">
        <v>32653.112999999998</v>
      </c>
      <c r="W26" s="144">
        <f t="shared" si="16"/>
        <v>-16603.832999999995</v>
      </c>
      <c r="X26" s="145">
        <f t="shared" si="27"/>
        <v>49.150842065196059</v>
      </c>
    </row>
    <row r="27" spans="1:27" s="139" customFormat="1" ht="33" customHeight="1" x14ac:dyDescent="0.25">
      <c r="A27" s="137">
        <f t="shared" si="28"/>
        <v>9</v>
      </c>
      <c r="B27" s="61" t="s">
        <v>8</v>
      </c>
      <c r="C27" s="138" t="s">
        <v>18</v>
      </c>
      <c r="D27" s="142">
        <v>5.5</v>
      </c>
      <c r="E27" s="142">
        <f>5.5+2.5</f>
        <v>8</v>
      </c>
      <c r="F27" s="142">
        <f t="shared" si="20"/>
        <v>6.0410000000000004</v>
      </c>
      <c r="G27" s="142">
        <v>0</v>
      </c>
      <c r="H27" s="142">
        <v>0.38100000000000001</v>
      </c>
      <c r="I27" s="142">
        <v>0</v>
      </c>
      <c r="J27" s="142">
        <v>0</v>
      </c>
      <c r="K27" s="142">
        <v>5.66</v>
      </c>
      <c r="L27" s="142">
        <v>0</v>
      </c>
      <c r="M27" s="142">
        <v>0</v>
      </c>
      <c r="N27" s="142">
        <v>0</v>
      </c>
      <c r="O27" s="142">
        <v>0</v>
      </c>
      <c r="P27" s="142">
        <v>0</v>
      </c>
      <c r="Q27" s="142">
        <v>0</v>
      </c>
      <c r="R27" s="143">
        <v>6</v>
      </c>
      <c r="S27" s="144">
        <f t="shared" si="13"/>
        <v>4.1000000000000369E-2</v>
      </c>
      <c r="T27" s="145">
        <f>F27/R27*100</f>
        <v>100.68333333333335</v>
      </c>
      <c r="U27" s="145">
        <f t="shared" si="26"/>
        <v>75.512500000000003</v>
      </c>
      <c r="V27" s="142">
        <v>5.4390000000000001</v>
      </c>
      <c r="W27" s="144">
        <f t="shared" si="16"/>
        <v>0.60200000000000031</v>
      </c>
      <c r="X27" s="145">
        <f t="shared" si="27"/>
        <v>111.06821106821107</v>
      </c>
    </row>
    <row r="28" spans="1:27" s="139" customFormat="1" ht="78" x14ac:dyDescent="0.25">
      <c r="A28" s="137">
        <f t="shared" si="28"/>
        <v>10</v>
      </c>
      <c r="B28" s="158" t="s">
        <v>91</v>
      </c>
      <c r="C28" s="77" t="s">
        <v>92</v>
      </c>
      <c r="D28" s="142">
        <v>4.5</v>
      </c>
      <c r="E28" s="142">
        <v>4.5</v>
      </c>
      <c r="F28" s="142">
        <f t="shared" si="20"/>
        <v>3.0000000000000001E-3</v>
      </c>
      <c r="G28" s="142">
        <v>0</v>
      </c>
      <c r="H28" s="142">
        <v>0</v>
      </c>
      <c r="I28" s="142">
        <v>0</v>
      </c>
      <c r="J28" s="142">
        <v>0</v>
      </c>
      <c r="K28" s="142">
        <v>0</v>
      </c>
      <c r="L28" s="142">
        <v>0</v>
      </c>
      <c r="M28" s="142">
        <v>0</v>
      </c>
      <c r="N28" s="142">
        <v>0</v>
      </c>
      <c r="O28" s="142">
        <v>0</v>
      </c>
      <c r="P28" s="142">
        <v>3.0000000000000001E-3</v>
      </c>
      <c r="Q28" s="142">
        <v>0</v>
      </c>
      <c r="R28" s="143">
        <v>3.0000000000000001E-3</v>
      </c>
      <c r="S28" s="144">
        <f t="shared" si="13"/>
        <v>0</v>
      </c>
      <c r="T28" s="145">
        <f>F28/R28*100</f>
        <v>100</v>
      </c>
      <c r="U28" s="145">
        <f t="shared" si="26"/>
        <v>6.6666666666666666E-2</v>
      </c>
      <c r="V28" s="142">
        <v>4.4080000000000004</v>
      </c>
      <c r="W28" s="144">
        <f t="shared" si="16"/>
        <v>-4.4050000000000002</v>
      </c>
      <c r="X28" s="145">
        <f t="shared" si="27"/>
        <v>6.8058076225045366E-2</v>
      </c>
    </row>
    <row r="29" spans="1:27" s="139" customFormat="1" ht="36" customHeight="1" x14ac:dyDescent="0.25">
      <c r="A29" s="137">
        <f t="shared" si="28"/>
        <v>11</v>
      </c>
      <c r="B29" s="152" t="s">
        <v>29</v>
      </c>
      <c r="C29" s="138" t="s">
        <v>24</v>
      </c>
      <c r="D29" s="142">
        <v>8804.73</v>
      </c>
      <c r="E29" s="142">
        <v>8804.73</v>
      </c>
      <c r="F29" s="142">
        <f t="shared" si="20"/>
        <v>12506.231999999998</v>
      </c>
      <c r="G29" s="142">
        <v>497.94799999999998</v>
      </c>
      <c r="H29" s="142">
        <v>694.71400000000006</v>
      </c>
      <c r="I29" s="142">
        <v>893.96699999999998</v>
      </c>
      <c r="J29" s="142">
        <v>1137.1980000000001</v>
      </c>
      <c r="K29" s="142">
        <v>904.77499999999998</v>
      </c>
      <c r="L29" s="142">
        <v>1296.52</v>
      </c>
      <c r="M29" s="142">
        <v>1252.164</v>
      </c>
      <c r="N29" s="142">
        <v>1440.2760000000001</v>
      </c>
      <c r="O29" s="142">
        <v>1612.7239999999999</v>
      </c>
      <c r="P29" s="142">
        <v>1387.9880000000001</v>
      </c>
      <c r="Q29" s="142">
        <v>1387.9580000000001</v>
      </c>
      <c r="R29" s="143">
        <v>8804.73</v>
      </c>
      <c r="S29" s="144">
        <f t="shared" si="13"/>
        <v>3701.5019999999986</v>
      </c>
      <c r="T29" s="145">
        <f t="shared" ref="T29:T40" si="29">F29/R29*100</f>
        <v>142.03992626690425</v>
      </c>
      <c r="U29" s="145">
        <f t="shared" si="26"/>
        <v>142.03992626690425</v>
      </c>
      <c r="V29" s="142">
        <v>5166.0379999999996</v>
      </c>
      <c r="W29" s="144">
        <f t="shared" si="16"/>
        <v>7340.1939999999986</v>
      </c>
      <c r="X29" s="145">
        <f t="shared" si="27"/>
        <v>242.08555957195821</v>
      </c>
      <c r="Y29" s="56">
        <f>100-X29</f>
        <v>-142.08555957195821</v>
      </c>
    </row>
    <row r="30" spans="1:27" s="139" customFormat="1" ht="58.5" x14ac:dyDescent="0.25">
      <c r="A30" s="137">
        <f t="shared" si="28"/>
        <v>12</v>
      </c>
      <c r="B30" s="152" t="s">
        <v>80</v>
      </c>
      <c r="C30" s="138" t="s">
        <v>79</v>
      </c>
      <c r="D30" s="142">
        <v>410</v>
      </c>
      <c r="E30" s="142">
        <v>410</v>
      </c>
      <c r="F30" s="142">
        <f t="shared" si="20"/>
        <v>526.12</v>
      </c>
      <c r="G30" s="142">
        <v>14.6</v>
      </c>
      <c r="H30" s="142">
        <v>13.6</v>
      </c>
      <c r="I30" s="142">
        <v>25.3</v>
      </c>
      <c r="J30" s="142">
        <v>43.42</v>
      </c>
      <c r="K30" s="142">
        <v>27.8</v>
      </c>
      <c r="L30" s="142">
        <v>70.8</v>
      </c>
      <c r="M30" s="142">
        <v>93.8</v>
      </c>
      <c r="N30" s="142">
        <v>69</v>
      </c>
      <c r="O30" s="142">
        <v>31.8</v>
      </c>
      <c r="P30" s="142">
        <v>62</v>
      </c>
      <c r="Q30" s="142">
        <v>74</v>
      </c>
      <c r="R30" s="143">
        <v>410</v>
      </c>
      <c r="S30" s="144">
        <f t="shared" si="13"/>
        <v>116.12</v>
      </c>
      <c r="T30" s="145">
        <f t="shared" si="29"/>
        <v>128.32195121951219</v>
      </c>
      <c r="U30" s="145">
        <f t="shared" si="26"/>
        <v>128.32195121951219</v>
      </c>
      <c r="V30" s="142">
        <v>377.85500000000002</v>
      </c>
      <c r="W30" s="144">
        <f t="shared" si="16"/>
        <v>148.26499999999999</v>
      </c>
      <c r="X30" s="145">
        <f t="shared" si="27"/>
        <v>139.23859681623901</v>
      </c>
    </row>
    <row r="31" spans="1:27" s="139" customFormat="1" ht="23.25" x14ac:dyDescent="0.25">
      <c r="A31" s="137">
        <f t="shared" si="28"/>
        <v>13</v>
      </c>
      <c r="B31" s="152" t="s">
        <v>113</v>
      </c>
      <c r="C31" s="138" t="s">
        <v>114</v>
      </c>
      <c r="D31" s="142">
        <v>15000</v>
      </c>
      <c r="E31" s="142">
        <v>15000</v>
      </c>
      <c r="F31" s="142">
        <f t="shared" si="20"/>
        <v>16163.997999999998</v>
      </c>
      <c r="G31" s="142">
        <v>1342.5129999999999</v>
      </c>
      <c r="H31" s="142">
        <v>1648.6110000000001</v>
      </c>
      <c r="I31" s="142">
        <v>1521.1489999999999</v>
      </c>
      <c r="J31" s="142">
        <v>1266.5989999999999</v>
      </c>
      <c r="K31" s="142">
        <v>1452.096</v>
      </c>
      <c r="L31" s="142">
        <v>1385.58</v>
      </c>
      <c r="M31" s="142">
        <v>1432.884</v>
      </c>
      <c r="N31" s="142">
        <v>1586.3889999999999</v>
      </c>
      <c r="O31" s="142">
        <v>1495.251</v>
      </c>
      <c r="P31" s="142">
        <v>1548.492</v>
      </c>
      <c r="Q31" s="142">
        <v>1484.434</v>
      </c>
      <c r="R31" s="143">
        <v>15000</v>
      </c>
      <c r="S31" s="144">
        <f t="shared" si="13"/>
        <v>1163.9979999999978</v>
      </c>
      <c r="T31" s="145">
        <f t="shared" si="29"/>
        <v>107.75998666666666</v>
      </c>
      <c r="U31" s="145">
        <f t="shared" si="26"/>
        <v>107.75998666666666</v>
      </c>
      <c r="V31" s="142">
        <v>13074.594999999999</v>
      </c>
      <c r="W31" s="144">
        <f t="shared" si="16"/>
        <v>3089.4029999999984</v>
      </c>
      <c r="X31" s="145">
        <f t="shared" si="27"/>
        <v>123.62905313701877</v>
      </c>
    </row>
    <row r="32" spans="1:27" s="139" customFormat="1" ht="78" x14ac:dyDescent="0.25">
      <c r="A32" s="137">
        <f t="shared" si="28"/>
        <v>14</v>
      </c>
      <c r="B32" s="152" t="s">
        <v>160</v>
      </c>
      <c r="C32" s="138" t="s">
        <v>159</v>
      </c>
      <c r="D32" s="142">
        <v>0</v>
      </c>
      <c r="E32" s="142">
        <v>30</v>
      </c>
      <c r="F32" s="142">
        <f t="shared" si="20"/>
        <v>29.199999999999996</v>
      </c>
      <c r="G32" s="142">
        <v>0</v>
      </c>
      <c r="H32" s="142">
        <v>0</v>
      </c>
      <c r="I32" s="142">
        <v>3.3180000000000001</v>
      </c>
      <c r="J32" s="142">
        <v>1.0720000000000001</v>
      </c>
      <c r="K32" s="142">
        <v>2.61</v>
      </c>
      <c r="L32" s="142">
        <v>1.2</v>
      </c>
      <c r="M32" s="142">
        <v>7.2</v>
      </c>
      <c r="N32" s="142">
        <v>7.2</v>
      </c>
      <c r="O32" s="142">
        <v>1.2</v>
      </c>
      <c r="P32" s="142">
        <v>2.4</v>
      </c>
      <c r="Q32" s="142">
        <v>3</v>
      </c>
      <c r="R32" s="143">
        <v>28.6</v>
      </c>
      <c r="S32" s="144">
        <f t="shared" si="13"/>
        <v>0.59999999999999432</v>
      </c>
      <c r="T32" s="145">
        <f t="shared" si="29"/>
        <v>102.09790209790208</v>
      </c>
      <c r="U32" s="145">
        <f t="shared" si="26"/>
        <v>97.333333333333314</v>
      </c>
      <c r="V32" s="142">
        <v>0</v>
      </c>
      <c r="W32" s="144">
        <f t="shared" si="16"/>
        <v>29.199999999999996</v>
      </c>
      <c r="X32" s="145"/>
    </row>
    <row r="33" spans="1:31" s="139" customFormat="1" ht="23.25" x14ac:dyDescent="0.25">
      <c r="A33" s="137">
        <f t="shared" si="28"/>
        <v>15</v>
      </c>
      <c r="B33" s="152" t="s">
        <v>82</v>
      </c>
      <c r="C33" s="138" t="s">
        <v>81</v>
      </c>
      <c r="D33" s="142">
        <f>SUM(D34:D37)</f>
        <v>27762.799999999999</v>
      </c>
      <c r="E33" s="142">
        <f>SUM(E34:E37)</f>
        <v>27762.799999999999</v>
      </c>
      <c r="F33" s="142">
        <f t="shared" si="20"/>
        <v>30363.669999999995</v>
      </c>
      <c r="G33" s="142">
        <f t="shared" ref="G33:R33" si="30">SUM(G34:G37)</f>
        <v>2016.3869999999997</v>
      </c>
      <c r="H33" s="142">
        <f t="shared" ref="H33:P33" si="31">SUM(H34:H37)</f>
        <v>2147.1390000000001</v>
      </c>
      <c r="I33" s="142">
        <f t="shared" si="31"/>
        <v>2556.277</v>
      </c>
      <c r="J33" s="142">
        <f t="shared" si="31"/>
        <v>2848.3900000000003</v>
      </c>
      <c r="K33" s="142">
        <f t="shared" si="31"/>
        <v>2767.8540000000003</v>
      </c>
      <c r="L33" s="142">
        <f t="shared" si="31"/>
        <v>3005.6840000000002</v>
      </c>
      <c r="M33" s="142">
        <f t="shared" si="31"/>
        <v>3450.6730000000002</v>
      </c>
      <c r="N33" s="142">
        <f t="shared" si="31"/>
        <v>3110.4269999999997</v>
      </c>
      <c r="O33" s="142">
        <f t="shared" si="31"/>
        <v>2951.96</v>
      </c>
      <c r="P33" s="142">
        <f t="shared" si="31"/>
        <v>2681.6709999999998</v>
      </c>
      <c r="Q33" s="142">
        <f t="shared" si="30"/>
        <v>2827.2079999999996</v>
      </c>
      <c r="R33" s="143">
        <f t="shared" si="30"/>
        <v>27388</v>
      </c>
      <c r="S33" s="144">
        <f t="shared" si="13"/>
        <v>2975.6699999999946</v>
      </c>
      <c r="T33" s="145">
        <f t="shared" si="29"/>
        <v>110.86486782532494</v>
      </c>
      <c r="U33" s="145">
        <f t="shared" si="26"/>
        <v>109.36818332444854</v>
      </c>
      <c r="V33" s="142">
        <f t="shared" ref="V33" si="32">SUM(V34:V37)</f>
        <v>22792.195</v>
      </c>
      <c r="W33" s="144">
        <f t="shared" si="16"/>
        <v>7571.4749999999949</v>
      </c>
      <c r="X33" s="145">
        <f t="shared" ref="X33:X39" si="33">F33/V33*100</f>
        <v>133.21959556769323</v>
      </c>
    </row>
    <row r="34" spans="1:31" s="60" customFormat="1" ht="58.5" x14ac:dyDescent="0.25">
      <c r="A34" s="57" t="s">
        <v>161</v>
      </c>
      <c r="B34" s="93" t="s">
        <v>74</v>
      </c>
      <c r="C34" s="162" t="s">
        <v>73</v>
      </c>
      <c r="D34" s="146">
        <v>1300</v>
      </c>
      <c r="E34" s="146">
        <v>1300</v>
      </c>
      <c r="F34" s="146">
        <f t="shared" si="20"/>
        <v>1333.0330000000001</v>
      </c>
      <c r="G34" s="146">
        <v>91.153999999999996</v>
      </c>
      <c r="H34" s="146">
        <v>123.645</v>
      </c>
      <c r="I34" s="146">
        <v>141.91800000000001</v>
      </c>
      <c r="J34" s="146">
        <v>141.23099999999999</v>
      </c>
      <c r="K34" s="146">
        <v>108.44</v>
      </c>
      <c r="L34" s="146">
        <v>153.00200000000001</v>
      </c>
      <c r="M34" s="146">
        <v>113.806</v>
      </c>
      <c r="N34" s="146">
        <v>151.93</v>
      </c>
      <c r="O34" s="146">
        <v>128.95099999999999</v>
      </c>
      <c r="P34" s="146">
        <v>74.247</v>
      </c>
      <c r="Q34" s="146">
        <v>104.709</v>
      </c>
      <c r="R34" s="91">
        <v>1300</v>
      </c>
      <c r="S34" s="92">
        <f t="shared" si="13"/>
        <v>33.033000000000129</v>
      </c>
      <c r="T34" s="147">
        <f t="shared" si="29"/>
        <v>102.54100000000001</v>
      </c>
      <c r="U34" s="147">
        <f t="shared" si="26"/>
        <v>102.54100000000001</v>
      </c>
      <c r="V34" s="146">
        <v>1039.5610000000001</v>
      </c>
      <c r="W34" s="92">
        <f t="shared" si="16"/>
        <v>293.47199999999998</v>
      </c>
      <c r="X34" s="147">
        <f t="shared" si="33"/>
        <v>128.23037801533533</v>
      </c>
      <c r="Y34" s="147">
        <f>X34-100</f>
        <v>28.230378015335333</v>
      </c>
      <c r="Z34" s="58"/>
    </row>
    <row r="35" spans="1:31" s="60" customFormat="1" ht="28.5" customHeight="1" x14ac:dyDescent="0.25">
      <c r="A35" s="57" t="s">
        <v>162</v>
      </c>
      <c r="B35" s="94" t="s">
        <v>59</v>
      </c>
      <c r="C35" s="49" t="s">
        <v>60</v>
      </c>
      <c r="D35" s="146">
        <v>24922.799999999999</v>
      </c>
      <c r="E35" s="146">
        <v>24922.799999999999</v>
      </c>
      <c r="F35" s="146">
        <f t="shared" si="20"/>
        <v>27840.760000000002</v>
      </c>
      <c r="G35" s="146">
        <v>1816.0039999999999</v>
      </c>
      <c r="H35" s="146">
        <v>1889.204</v>
      </c>
      <c r="I35" s="146">
        <v>2281.4290000000001</v>
      </c>
      <c r="J35" s="146">
        <v>2605.2289999999998</v>
      </c>
      <c r="K35" s="146">
        <v>2552.5940000000001</v>
      </c>
      <c r="L35" s="146">
        <v>2747.3620000000001</v>
      </c>
      <c r="M35" s="146">
        <v>3191.1350000000002</v>
      </c>
      <c r="N35" s="146">
        <v>2869.6509999999998</v>
      </c>
      <c r="O35" s="146">
        <v>2747.9490000000001</v>
      </c>
      <c r="P35" s="146">
        <v>2520.5340000000001</v>
      </c>
      <c r="Q35" s="146">
        <v>2619.6689999999999</v>
      </c>
      <c r="R35" s="91">
        <v>24922.799999999999</v>
      </c>
      <c r="S35" s="92">
        <f t="shared" si="13"/>
        <v>2917.9600000000028</v>
      </c>
      <c r="T35" s="147">
        <f t="shared" si="29"/>
        <v>111.70799428635627</v>
      </c>
      <c r="U35" s="147">
        <f t="shared" si="26"/>
        <v>111.70799428635627</v>
      </c>
      <c r="V35" s="146">
        <v>20441.036</v>
      </c>
      <c r="W35" s="92">
        <f t="shared" si="16"/>
        <v>7399.724000000002</v>
      </c>
      <c r="X35" s="147">
        <f t="shared" si="33"/>
        <v>136.20033739972868</v>
      </c>
      <c r="Y35" s="147">
        <f>X35-100</f>
        <v>36.200337399728681</v>
      </c>
      <c r="Z35" s="59"/>
    </row>
    <row r="36" spans="1:31" s="60" customFormat="1" ht="48" customHeight="1" x14ac:dyDescent="0.25">
      <c r="A36" s="57" t="s">
        <v>163</v>
      </c>
      <c r="B36" s="94" t="s">
        <v>78</v>
      </c>
      <c r="C36" s="49" t="s">
        <v>75</v>
      </c>
      <c r="D36" s="146">
        <v>1400</v>
      </c>
      <c r="E36" s="146">
        <v>1400</v>
      </c>
      <c r="F36" s="146">
        <f t="shared" si="20"/>
        <v>1111.5069999999998</v>
      </c>
      <c r="G36" s="146">
        <v>106.899</v>
      </c>
      <c r="H36" s="146">
        <v>124.08</v>
      </c>
      <c r="I36" s="146">
        <v>126.35</v>
      </c>
      <c r="J36" s="146">
        <v>100.11</v>
      </c>
      <c r="K36" s="146">
        <v>101.36</v>
      </c>
      <c r="L36" s="146">
        <v>96.92</v>
      </c>
      <c r="M36" s="146">
        <v>134.38200000000001</v>
      </c>
      <c r="N36" s="146">
        <v>72.406000000000006</v>
      </c>
      <c r="O36" s="146">
        <v>72.900000000000006</v>
      </c>
      <c r="P36" s="146">
        <v>78.94</v>
      </c>
      <c r="Q36" s="146">
        <v>97.16</v>
      </c>
      <c r="R36" s="91">
        <v>1092.8</v>
      </c>
      <c r="S36" s="92">
        <f t="shared" si="13"/>
        <v>18.70699999999988</v>
      </c>
      <c r="T36" s="147">
        <f t="shared" si="29"/>
        <v>101.71184114202048</v>
      </c>
      <c r="U36" s="147">
        <f t="shared" si="26"/>
        <v>79.393357142857141</v>
      </c>
      <c r="V36" s="146">
        <v>1177.4639999999999</v>
      </c>
      <c r="W36" s="92">
        <f t="shared" si="16"/>
        <v>-65.957000000000107</v>
      </c>
      <c r="X36" s="147">
        <f t="shared" si="33"/>
        <v>94.39838500370287</v>
      </c>
    </row>
    <row r="37" spans="1:31" s="60" customFormat="1" ht="97.5" x14ac:dyDescent="0.25">
      <c r="A37" s="57" t="s">
        <v>164</v>
      </c>
      <c r="B37" s="95" t="s">
        <v>77</v>
      </c>
      <c r="C37" s="49" t="s">
        <v>76</v>
      </c>
      <c r="D37" s="146">
        <v>140</v>
      </c>
      <c r="E37" s="146">
        <v>140</v>
      </c>
      <c r="F37" s="146">
        <f t="shared" si="20"/>
        <v>78.37</v>
      </c>
      <c r="G37" s="146">
        <v>2.33</v>
      </c>
      <c r="H37" s="146">
        <v>10.210000000000001</v>
      </c>
      <c r="I37" s="146">
        <v>6.58</v>
      </c>
      <c r="J37" s="146">
        <v>1.82</v>
      </c>
      <c r="K37" s="146">
        <v>5.46</v>
      </c>
      <c r="L37" s="146">
        <v>8.4</v>
      </c>
      <c r="M37" s="146">
        <v>11.35</v>
      </c>
      <c r="N37" s="146">
        <v>16.440000000000001</v>
      </c>
      <c r="O37" s="146">
        <v>2.16</v>
      </c>
      <c r="P37" s="146">
        <v>7.95</v>
      </c>
      <c r="Q37" s="146">
        <v>5.67</v>
      </c>
      <c r="R37" s="91">
        <v>72.400000000000006</v>
      </c>
      <c r="S37" s="92">
        <f t="shared" si="13"/>
        <v>5.9699999999999989</v>
      </c>
      <c r="T37" s="147">
        <f t="shared" si="29"/>
        <v>108.24585635359117</v>
      </c>
      <c r="U37" s="147">
        <f t="shared" si="26"/>
        <v>55.978571428571435</v>
      </c>
      <c r="V37" s="146">
        <v>134.13400000000001</v>
      </c>
      <c r="W37" s="92">
        <f t="shared" si="16"/>
        <v>-55.76400000000001</v>
      </c>
      <c r="X37" s="147">
        <f t="shared" si="33"/>
        <v>58.426647978886784</v>
      </c>
    </row>
    <row r="38" spans="1:31" s="139" customFormat="1" ht="58.5" x14ac:dyDescent="0.25">
      <c r="A38" s="137">
        <v>16</v>
      </c>
      <c r="B38" s="158" t="s">
        <v>34</v>
      </c>
      <c r="C38" s="138" t="s">
        <v>19</v>
      </c>
      <c r="D38" s="142">
        <v>12000</v>
      </c>
      <c r="E38" s="142">
        <v>12000</v>
      </c>
      <c r="F38" s="142">
        <f t="shared" si="20"/>
        <v>11245.967000000001</v>
      </c>
      <c r="G38" s="142">
        <v>886.822</v>
      </c>
      <c r="H38" s="142">
        <v>956.88</v>
      </c>
      <c r="I38" s="142">
        <v>1008.902</v>
      </c>
      <c r="J38" s="142">
        <v>874.19399999999996</v>
      </c>
      <c r="K38" s="142">
        <v>1016.393</v>
      </c>
      <c r="L38" s="142">
        <v>1026.453</v>
      </c>
      <c r="M38" s="142">
        <v>1010.407</v>
      </c>
      <c r="N38" s="142">
        <v>854.18</v>
      </c>
      <c r="O38" s="142">
        <v>1384.8119999999999</v>
      </c>
      <c r="P38" s="142">
        <v>1156.1949999999999</v>
      </c>
      <c r="Q38" s="142">
        <v>1070.729</v>
      </c>
      <c r="R38" s="143">
        <v>10660.4</v>
      </c>
      <c r="S38" s="144">
        <f t="shared" si="13"/>
        <v>585.56700000000092</v>
      </c>
      <c r="T38" s="145">
        <f t="shared" si="29"/>
        <v>105.49291771415707</v>
      </c>
      <c r="U38" s="145">
        <f t="shared" si="26"/>
        <v>93.716391666666681</v>
      </c>
      <c r="V38" s="142">
        <v>10019.966999999999</v>
      </c>
      <c r="W38" s="144">
        <f t="shared" si="16"/>
        <v>1226.0000000000018</v>
      </c>
      <c r="X38" s="145">
        <f t="shared" si="33"/>
        <v>112.23556923890069</v>
      </c>
    </row>
    <row r="39" spans="1:31" s="139" customFormat="1" ht="30.75" customHeight="1" x14ac:dyDescent="0.25">
      <c r="A39" s="137">
        <f t="shared" ref="A39:A47" si="34">A38+1</f>
        <v>17</v>
      </c>
      <c r="B39" s="61" t="s">
        <v>53</v>
      </c>
      <c r="C39" s="138" t="s">
        <v>15</v>
      </c>
      <c r="D39" s="142">
        <v>600.5</v>
      </c>
      <c r="E39" s="142">
        <v>600.5</v>
      </c>
      <c r="F39" s="142">
        <f t="shared" si="20"/>
        <v>691.72400000000005</v>
      </c>
      <c r="G39" s="142">
        <v>33.802</v>
      </c>
      <c r="H39" s="142">
        <v>36.167000000000002</v>
      </c>
      <c r="I39" s="142">
        <v>43.429000000000002</v>
      </c>
      <c r="J39" s="142">
        <v>38.436999999999998</v>
      </c>
      <c r="K39" s="142">
        <v>36.195</v>
      </c>
      <c r="L39" s="142">
        <v>65.909000000000006</v>
      </c>
      <c r="M39" s="142">
        <v>47.518999999999998</v>
      </c>
      <c r="N39" s="142">
        <v>49.859000000000002</v>
      </c>
      <c r="O39" s="142">
        <v>44.279000000000003</v>
      </c>
      <c r="P39" s="142">
        <v>167.66300000000001</v>
      </c>
      <c r="Q39" s="142">
        <v>128.465</v>
      </c>
      <c r="R39" s="143">
        <v>595.23699999999997</v>
      </c>
      <c r="S39" s="144">
        <f t="shared" ref="S39:S63" si="35">F39-R39</f>
        <v>96.48700000000008</v>
      </c>
      <c r="T39" s="145">
        <f t="shared" si="29"/>
        <v>116.20984582611634</v>
      </c>
      <c r="U39" s="145">
        <f t="shared" si="26"/>
        <v>115.19134054954205</v>
      </c>
      <c r="V39" s="142">
        <v>597.34699999999998</v>
      </c>
      <c r="W39" s="144">
        <f t="shared" ref="W39:W70" si="36">F39-V39</f>
        <v>94.377000000000066</v>
      </c>
      <c r="X39" s="145">
        <f t="shared" si="33"/>
        <v>115.79935950126141</v>
      </c>
      <c r="Y39" s="56">
        <f>100-X39</f>
        <v>-15.799359501261407</v>
      </c>
    </row>
    <row r="40" spans="1:31" s="139" customFormat="1" ht="97.5" x14ac:dyDescent="0.25">
      <c r="A40" s="137">
        <f t="shared" si="34"/>
        <v>18</v>
      </c>
      <c r="B40" s="61" t="s">
        <v>99</v>
      </c>
      <c r="C40" s="138" t="s">
        <v>98</v>
      </c>
      <c r="D40" s="142">
        <v>2.5499999999999998</v>
      </c>
      <c r="E40" s="142">
        <v>2.5499999999999998</v>
      </c>
      <c r="F40" s="142">
        <f t="shared" si="20"/>
        <v>2.6</v>
      </c>
      <c r="G40" s="142">
        <v>0</v>
      </c>
      <c r="H40" s="142">
        <v>0</v>
      </c>
      <c r="I40" s="142">
        <v>0</v>
      </c>
      <c r="J40" s="142">
        <v>0</v>
      </c>
      <c r="K40" s="142">
        <v>0</v>
      </c>
      <c r="L40" s="142">
        <v>0</v>
      </c>
      <c r="M40" s="142">
        <v>0</v>
      </c>
      <c r="N40" s="142">
        <v>2.6</v>
      </c>
      <c r="O40" s="142">
        <v>0</v>
      </c>
      <c r="P40" s="142">
        <v>0</v>
      </c>
      <c r="Q40" s="142">
        <v>0</v>
      </c>
      <c r="R40" s="143">
        <v>2.5499999999999998</v>
      </c>
      <c r="S40" s="144">
        <f t="shared" si="35"/>
        <v>5.0000000000000266E-2</v>
      </c>
      <c r="T40" s="145">
        <f t="shared" si="29"/>
        <v>101.96078431372551</v>
      </c>
      <c r="U40" s="145">
        <f t="shared" si="26"/>
        <v>101.96078431372551</v>
      </c>
      <c r="V40" s="142">
        <v>0</v>
      </c>
      <c r="W40" s="144">
        <f t="shared" si="36"/>
        <v>2.6</v>
      </c>
      <c r="X40" s="145"/>
    </row>
    <row r="41" spans="1:31" s="139" customFormat="1" ht="28.5" customHeight="1" x14ac:dyDescent="0.25">
      <c r="A41" s="137">
        <f t="shared" si="34"/>
        <v>19</v>
      </c>
      <c r="B41" s="80" t="s">
        <v>61</v>
      </c>
      <c r="C41" s="25" t="s">
        <v>62</v>
      </c>
      <c r="D41" s="142">
        <v>70</v>
      </c>
      <c r="E41" s="142">
        <f>70+200</f>
        <v>270</v>
      </c>
      <c r="F41" s="142">
        <f t="shared" si="20"/>
        <v>230.22200000000001</v>
      </c>
      <c r="G41" s="142">
        <v>0</v>
      </c>
      <c r="H41" s="142">
        <v>0</v>
      </c>
      <c r="I41" s="142">
        <v>0</v>
      </c>
      <c r="J41" s="142">
        <v>0</v>
      </c>
      <c r="K41" s="142">
        <v>0</v>
      </c>
      <c r="L41" s="142">
        <v>230.22200000000001</v>
      </c>
      <c r="M41" s="142">
        <v>0</v>
      </c>
      <c r="N41" s="142">
        <v>0</v>
      </c>
      <c r="O41" s="142">
        <v>0</v>
      </c>
      <c r="P41" s="142">
        <v>0</v>
      </c>
      <c r="Q41" s="142">
        <v>0</v>
      </c>
      <c r="R41" s="143">
        <v>230</v>
      </c>
      <c r="S41" s="144">
        <f t="shared" si="35"/>
        <v>0.22200000000000841</v>
      </c>
      <c r="T41" s="145">
        <f>F41/R41*100</f>
        <v>100.09652173913044</v>
      </c>
      <c r="U41" s="145">
        <f t="shared" si="26"/>
        <v>85.267407407407418</v>
      </c>
      <c r="V41" s="142">
        <v>3.234</v>
      </c>
      <c r="W41" s="144">
        <f t="shared" si="36"/>
        <v>226.988</v>
      </c>
      <c r="X41" s="145"/>
    </row>
    <row r="42" spans="1:31" s="139" customFormat="1" ht="28.5" customHeight="1" x14ac:dyDescent="0.25">
      <c r="A42" s="137">
        <f t="shared" si="34"/>
        <v>20</v>
      </c>
      <c r="B42" s="61" t="s">
        <v>8</v>
      </c>
      <c r="C42" s="138" t="s">
        <v>20</v>
      </c>
      <c r="D42" s="142">
        <v>1400</v>
      </c>
      <c r="E42" s="142">
        <v>1400</v>
      </c>
      <c r="F42" s="142">
        <f t="shared" si="20"/>
        <v>1543.6960000000001</v>
      </c>
      <c r="G42" s="142">
        <v>161.375</v>
      </c>
      <c r="H42" s="142">
        <v>156.322</v>
      </c>
      <c r="I42" s="142">
        <v>144.40100000000001</v>
      </c>
      <c r="J42" s="142">
        <v>126.51600000000001</v>
      </c>
      <c r="K42" s="142">
        <v>134.447</v>
      </c>
      <c r="L42" s="142">
        <v>125.53100000000001</v>
      </c>
      <c r="M42" s="142">
        <v>199.05099999999999</v>
      </c>
      <c r="N42" s="142">
        <v>144.816</v>
      </c>
      <c r="O42" s="142">
        <v>131.62100000000001</v>
      </c>
      <c r="P42" s="142">
        <v>106.602</v>
      </c>
      <c r="Q42" s="142">
        <v>113.014</v>
      </c>
      <c r="R42" s="143">
        <v>1400</v>
      </c>
      <c r="S42" s="144">
        <f t="shared" si="35"/>
        <v>143.69600000000014</v>
      </c>
      <c r="T42" s="145">
        <f>F42/R42*100</f>
        <v>110.26400000000001</v>
      </c>
      <c r="U42" s="145">
        <f t="shared" si="26"/>
        <v>110.26400000000001</v>
      </c>
      <c r="V42" s="142">
        <v>43596.325999999994</v>
      </c>
      <c r="W42" s="144">
        <f t="shared" si="36"/>
        <v>-42052.62999999999</v>
      </c>
      <c r="X42" s="145">
        <f>F42/V42*100</f>
        <v>3.5408855324184896</v>
      </c>
      <c r="AB42" s="139">
        <v>246438.04</v>
      </c>
    </row>
    <row r="43" spans="1:31" s="139" customFormat="1" ht="23.25" x14ac:dyDescent="0.25">
      <c r="A43" s="137">
        <f t="shared" si="34"/>
        <v>21</v>
      </c>
      <c r="B43" s="61" t="s">
        <v>191</v>
      </c>
      <c r="C43" s="138" t="s">
        <v>192</v>
      </c>
      <c r="D43" s="142"/>
      <c r="E43" s="142">
        <v>0</v>
      </c>
      <c r="F43" s="142">
        <f t="shared" si="20"/>
        <v>0</v>
      </c>
      <c r="G43" s="142">
        <v>0</v>
      </c>
      <c r="H43" s="142">
        <v>0</v>
      </c>
      <c r="I43" s="142">
        <v>0</v>
      </c>
      <c r="J43" s="142">
        <v>0</v>
      </c>
      <c r="K43" s="142">
        <v>0</v>
      </c>
      <c r="L43" s="142">
        <v>0</v>
      </c>
      <c r="M43" s="142">
        <v>0</v>
      </c>
      <c r="N43" s="142">
        <v>0</v>
      </c>
      <c r="O43" s="142">
        <v>0</v>
      </c>
      <c r="P43" s="142">
        <v>0</v>
      </c>
      <c r="Q43" s="142">
        <v>0</v>
      </c>
      <c r="R43" s="143"/>
      <c r="S43" s="144">
        <f t="shared" si="35"/>
        <v>0</v>
      </c>
      <c r="T43" s="145"/>
      <c r="U43" s="145"/>
      <c r="V43" s="142">
        <v>0.30199999999999999</v>
      </c>
      <c r="W43" s="144">
        <f t="shared" si="36"/>
        <v>-0.30199999999999999</v>
      </c>
      <c r="X43" s="145"/>
    </row>
    <row r="44" spans="1:31" s="139" customFormat="1" ht="58.5" x14ac:dyDescent="0.25">
      <c r="A44" s="137">
        <f t="shared" si="34"/>
        <v>22</v>
      </c>
      <c r="B44" s="61" t="s">
        <v>157</v>
      </c>
      <c r="C44" s="138" t="s">
        <v>156</v>
      </c>
      <c r="D44" s="142">
        <v>0</v>
      </c>
      <c r="E44" s="142">
        <v>0</v>
      </c>
      <c r="F44" s="142">
        <f t="shared" si="20"/>
        <v>0</v>
      </c>
      <c r="G44" s="142">
        <v>0</v>
      </c>
      <c r="H44" s="142">
        <v>0</v>
      </c>
      <c r="I44" s="142">
        <v>0</v>
      </c>
      <c r="J44" s="142">
        <v>0</v>
      </c>
      <c r="K44" s="142">
        <v>0</v>
      </c>
      <c r="L44" s="142">
        <v>0</v>
      </c>
      <c r="M44" s="142">
        <v>0</v>
      </c>
      <c r="N44" s="142">
        <v>0</v>
      </c>
      <c r="O44" s="142">
        <v>0</v>
      </c>
      <c r="P44" s="142">
        <v>0</v>
      </c>
      <c r="Q44" s="142">
        <v>0</v>
      </c>
      <c r="R44" s="143">
        <v>0</v>
      </c>
      <c r="S44" s="144">
        <f t="shared" si="35"/>
        <v>0</v>
      </c>
      <c r="T44" s="145"/>
      <c r="U44" s="145"/>
      <c r="V44" s="142">
        <v>87.876999999999995</v>
      </c>
      <c r="W44" s="144">
        <f t="shared" si="36"/>
        <v>-87.876999999999995</v>
      </c>
      <c r="X44" s="145"/>
    </row>
    <row r="45" spans="1:31" s="139" customFormat="1" ht="156" x14ac:dyDescent="0.25">
      <c r="A45" s="137">
        <f t="shared" si="34"/>
        <v>23</v>
      </c>
      <c r="B45" s="61" t="s">
        <v>52</v>
      </c>
      <c r="C45" s="138" t="s">
        <v>46</v>
      </c>
      <c r="D45" s="142">
        <v>1000</v>
      </c>
      <c r="E45" s="142">
        <v>1000</v>
      </c>
      <c r="F45" s="142">
        <f t="shared" si="20"/>
        <v>1061.3239999999998</v>
      </c>
      <c r="G45" s="142">
        <v>2.294</v>
      </c>
      <c r="H45" s="142">
        <v>266.43900000000002</v>
      </c>
      <c r="I45" s="142">
        <v>61.570999999999998</v>
      </c>
      <c r="J45" s="142">
        <v>32.951000000000001</v>
      </c>
      <c r="K45" s="142">
        <v>52.198</v>
      </c>
      <c r="L45" s="142">
        <v>378.97300000000001</v>
      </c>
      <c r="M45" s="142">
        <v>2.1840000000000002</v>
      </c>
      <c r="N45" s="142">
        <v>131.89699999999999</v>
      </c>
      <c r="O45" s="142">
        <v>0</v>
      </c>
      <c r="P45" s="142">
        <v>30.433</v>
      </c>
      <c r="Q45" s="142">
        <v>102.384</v>
      </c>
      <c r="R45" s="143">
        <v>1000</v>
      </c>
      <c r="S45" s="144">
        <f t="shared" si="35"/>
        <v>61.323999999999842</v>
      </c>
      <c r="T45" s="145">
        <f>F45/R45*100</f>
        <v>106.13239999999999</v>
      </c>
      <c r="U45" s="145">
        <f t="shared" ref="U45:U50" si="37">F45/E45*100</f>
        <v>106.13239999999999</v>
      </c>
      <c r="V45" s="142">
        <v>1120.306</v>
      </c>
      <c r="W45" s="144">
        <f t="shared" si="36"/>
        <v>-58.982000000000198</v>
      </c>
      <c r="X45" s="145">
        <f>F45/V45*100</f>
        <v>94.735188421734762</v>
      </c>
      <c r="AA45" s="139">
        <v>308493.50900000002</v>
      </c>
    </row>
    <row r="46" spans="1:31" s="139" customFormat="1" ht="78" x14ac:dyDescent="0.25">
      <c r="A46" s="137">
        <f t="shared" si="34"/>
        <v>24</v>
      </c>
      <c r="B46" s="61" t="s">
        <v>129</v>
      </c>
      <c r="C46" s="138" t="s">
        <v>128</v>
      </c>
      <c r="D46" s="142">
        <v>15</v>
      </c>
      <c r="E46" s="142">
        <v>15</v>
      </c>
      <c r="F46" s="142">
        <f t="shared" si="20"/>
        <v>0</v>
      </c>
      <c r="G46" s="142">
        <v>0</v>
      </c>
      <c r="H46" s="142">
        <v>0</v>
      </c>
      <c r="I46" s="142">
        <v>0</v>
      </c>
      <c r="J46" s="142">
        <v>0</v>
      </c>
      <c r="K46" s="142">
        <v>0</v>
      </c>
      <c r="L46" s="142">
        <v>0</v>
      </c>
      <c r="M46" s="142">
        <v>0</v>
      </c>
      <c r="N46" s="142">
        <v>0</v>
      </c>
      <c r="O46" s="142">
        <v>0</v>
      </c>
      <c r="P46" s="142">
        <v>0</v>
      </c>
      <c r="Q46" s="142">
        <v>0</v>
      </c>
      <c r="R46" s="143">
        <v>0</v>
      </c>
      <c r="S46" s="144">
        <f t="shared" si="35"/>
        <v>0</v>
      </c>
      <c r="T46" s="145"/>
      <c r="U46" s="145">
        <f t="shared" si="37"/>
        <v>0</v>
      </c>
      <c r="V46" s="142">
        <v>36.601999999999997</v>
      </c>
      <c r="W46" s="144">
        <f t="shared" si="36"/>
        <v>-36.601999999999997</v>
      </c>
      <c r="X46" s="145">
        <f>F46/V46*100</f>
        <v>0</v>
      </c>
      <c r="Z46" s="55">
        <f>F48-F42</f>
        <v>3367574.4209999996</v>
      </c>
      <c r="AA46" s="55">
        <f>V48-V42</f>
        <v>2823847.5329999998</v>
      </c>
      <c r="AB46" s="56">
        <f>Z46/AA46</f>
        <v>1.1925482454863117</v>
      </c>
    </row>
    <row r="47" spans="1:31" s="139" customFormat="1" ht="39" x14ac:dyDescent="0.25">
      <c r="A47" s="137">
        <f t="shared" si="34"/>
        <v>25</v>
      </c>
      <c r="B47" s="61" t="s">
        <v>84</v>
      </c>
      <c r="C47" s="138" t="s">
        <v>83</v>
      </c>
      <c r="D47" s="142">
        <v>4.4000000000000004</v>
      </c>
      <c r="E47" s="142">
        <v>4.4000000000000004</v>
      </c>
      <c r="F47" s="142">
        <f t="shared" si="20"/>
        <v>0</v>
      </c>
      <c r="G47" s="142">
        <v>0</v>
      </c>
      <c r="H47" s="142">
        <v>0</v>
      </c>
      <c r="I47" s="142">
        <v>0</v>
      </c>
      <c r="J47" s="142">
        <v>0</v>
      </c>
      <c r="K47" s="142">
        <v>0</v>
      </c>
      <c r="L47" s="142">
        <v>0</v>
      </c>
      <c r="M47" s="142">
        <v>0</v>
      </c>
      <c r="N47" s="142">
        <v>0</v>
      </c>
      <c r="O47" s="142">
        <v>0</v>
      </c>
      <c r="P47" s="142">
        <v>0</v>
      </c>
      <c r="Q47" s="142">
        <v>0</v>
      </c>
      <c r="R47" s="143">
        <v>0</v>
      </c>
      <c r="S47" s="144">
        <f t="shared" si="35"/>
        <v>0</v>
      </c>
      <c r="T47" s="145"/>
      <c r="U47" s="145">
        <f t="shared" si="37"/>
        <v>0</v>
      </c>
      <c r="V47" s="142">
        <v>2.9350000000000001</v>
      </c>
      <c r="W47" s="144">
        <f t="shared" si="36"/>
        <v>-2.9350000000000001</v>
      </c>
      <c r="X47" s="145"/>
    </row>
    <row r="48" spans="1:31" s="66" customFormat="1" ht="46.5" customHeight="1" x14ac:dyDescent="0.3">
      <c r="A48" s="62"/>
      <c r="B48" s="63" t="s">
        <v>154</v>
      </c>
      <c r="C48" s="140"/>
      <c r="D48" s="140">
        <f>D7+D8+D9+D14+D18+D25+D26+D27+D28+D29+D30+D31+D33+D38+D39+D40+D41+D42+D45+D47+D46</f>
        <v>3751621.3889999995</v>
      </c>
      <c r="E48" s="140">
        <f>E7+E8+E9+E14+E18+E25+E26+E27+E28+E29+E30+E31+E33+E38+E39+E40+E41+E42+E45+E47+E46+E32</f>
        <v>3751621.3889999995</v>
      </c>
      <c r="F48" s="140">
        <f t="shared" si="20"/>
        <v>3369118.1169999996</v>
      </c>
      <c r="G48" s="140">
        <f>G7+G8+G9+G14+G18+G25+G26+G27+G28+G29+G30+G31+G33+G38+G39+G40+G41+G42+G45+G47+G46+G32</f>
        <v>237295.24299999996</v>
      </c>
      <c r="H48" s="140">
        <f t="shared" ref="H48" si="38">H7+H8+H9+H14+H18+H25+H26+H27+H28+H29+H30+H31+H33+H38+H39+H40+H41+H42+H45+H47+H46+H32</f>
        <v>305315.03299999994</v>
      </c>
      <c r="I48" s="140">
        <f t="shared" ref="I48:P48" si="39">I7+I8+I9+I14+I18+I25+I26+I27+I28+I29+I30+I31+I33+I38+I39+I40+I41+I42+I45+I47+I46+I32</f>
        <v>276790.2</v>
      </c>
      <c r="J48" s="140">
        <f t="shared" si="39"/>
        <v>310545.73499999999</v>
      </c>
      <c r="K48" s="140">
        <f t="shared" si="39"/>
        <v>308493.50899999996</v>
      </c>
      <c r="L48" s="140">
        <f t="shared" si="39"/>
        <v>294480.42599999998</v>
      </c>
      <c r="M48" s="140">
        <f t="shared" si="39"/>
        <v>323392.28900000005</v>
      </c>
      <c r="N48" s="140">
        <f t="shared" si="39"/>
        <v>310292.29000000004</v>
      </c>
      <c r="O48" s="140">
        <f t="shared" si="39"/>
        <v>270316.22699999996</v>
      </c>
      <c r="P48" s="140">
        <f t="shared" si="39"/>
        <v>375696.93600000016</v>
      </c>
      <c r="Q48" s="140">
        <f>Q7+Q8+Q9+Q14+Q18+Q25+Q26+Q27+Q28+Q29+Q30+Q31+Q33+Q38+Q39+Q40+Q41+Q42+Q45+Q47+Q46+Q32</f>
        <v>356500.22900000005</v>
      </c>
      <c r="R48" s="140">
        <f>R7+R8+R9+R14+R18+R25+R26+R27+R28+R29+R30+R31+R33+R38+R39+R40+R41+R42+R45+R47+R46+R32</f>
        <v>3299560.3250000002</v>
      </c>
      <c r="S48" s="64">
        <f t="shared" si="35"/>
        <v>69557.791999999434</v>
      </c>
      <c r="T48" s="65">
        <f>F48/R48*100</f>
        <v>102.10809275020603</v>
      </c>
      <c r="U48" s="65">
        <f t="shared" si="37"/>
        <v>89.804321056449766</v>
      </c>
      <c r="V48" s="140">
        <f>V7+V8+V9+V14+V18+V25+V26+V27+V28+V29+V30+V31+V33+V38+V39+V40+V41+V42+V45+V47+V46+V24+V44+V43</f>
        <v>2867443.8589999997</v>
      </c>
      <c r="W48" s="64">
        <f t="shared" si="36"/>
        <v>501674.25799999991</v>
      </c>
      <c r="X48" s="65">
        <f>F48/V48*100</f>
        <v>117.49552154004353</v>
      </c>
      <c r="Y48" s="67">
        <v>2867443.8590000002</v>
      </c>
      <c r="Z48" s="67">
        <f>Y48-V48</f>
        <v>0</v>
      </c>
      <c r="AC48" s="67" t="e">
        <f>#REF!-#REF!-#REF!</f>
        <v>#REF!</v>
      </c>
      <c r="AE48" s="66">
        <v>294547.38299999997</v>
      </c>
    </row>
    <row r="49" spans="1:28" s="8" customFormat="1" ht="37.5" x14ac:dyDescent="0.25">
      <c r="A49" s="170">
        <v>1</v>
      </c>
      <c r="B49" s="178" t="s">
        <v>187</v>
      </c>
      <c r="C49" s="128" t="s">
        <v>186</v>
      </c>
      <c r="D49" s="148">
        <v>0</v>
      </c>
      <c r="E49" s="148">
        <v>3128.8</v>
      </c>
      <c r="F49" s="142">
        <f t="shared" si="20"/>
        <v>2035.8000000000002</v>
      </c>
      <c r="G49" s="142">
        <v>0</v>
      </c>
      <c r="H49" s="142">
        <v>0</v>
      </c>
      <c r="I49" s="142">
        <v>0</v>
      </c>
      <c r="J49" s="142">
        <v>0</v>
      </c>
      <c r="K49" s="142">
        <v>0</v>
      </c>
      <c r="L49" s="142">
        <v>0</v>
      </c>
      <c r="M49" s="142">
        <v>0</v>
      </c>
      <c r="N49" s="142">
        <v>0</v>
      </c>
      <c r="O49" s="142">
        <v>783</v>
      </c>
      <c r="P49" s="142">
        <v>313.2</v>
      </c>
      <c r="Q49" s="142">
        <v>939.6</v>
      </c>
      <c r="R49" s="142">
        <v>2035.8</v>
      </c>
      <c r="S49" s="144">
        <f t="shared" ref="S49" si="40">F49-R49</f>
        <v>0</v>
      </c>
      <c r="T49" s="145">
        <f>F49/R49*100</f>
        <v>100.00000000000003</v>
      </c>
      <c r="U49" s="145">
        <f t="shared" si="37"/>
        <v>65.066479161339814</v>
      </c>
      <c r="V49" s="142">
        <v>0</v>
      </c>
      <c r="W49" s="144">
        <f t="shared" si="36"/>
        <v>2035.8000000000002</v>
      </c>
      <c r="X49" s="145"/>
      <c r="Y49" s="33"/>
      <c r="Z49" s="33"/>
      <c r="AA49" s="33"/>
      <c r="AB49" s="35"/>
    </row>
    <row r="50" spans="1:28" s="8" customFormat="1" ht="30.75" customHeight="1" x14ac:dyDescent="0.25">
      <c r="A50" s="163">
        <f>A49+1</f>
        <v>2</v>
      </c>
      <c r="B50" s="178" t="s">
        <v>211</v>
      </c>
      <c r="C50" s="128" t="s">
        <v>54</v>
      </c>
      <c r="D50" s="148">
        <v>717803.4</v>
      </c>
      <c r="E50" s="148">
        <v>717803.4</v>
      </c>
      <c r="F50" s="142">
        <f t="shared" si="20"/>
        <v>650813.50000000012</v>
      </c>
      <c r="G50" s="142">
        <v>44804.3</v>
      </c>
      <c r="H50" s="142">
        <v>52312.800000000003</v>
      </c>
      <c r="I50" s="142">
        <v>54480.800000000003</v>
      </c>
      <c r="J50" s="142">
        <v>55203.4</v>
      </c>
      <c r="K50" s="142">
        <v>71101.8</v>
      </c>
      <c r="L50" s="142">
        <v>137361.60000000001</v>
      </c>
      <c r="M50" s="142">
        <v>24852.1</v>
      </c>
      <c r="N50" s="142">
        <v>28465.4</v>
      </c>
      <c r="O50" s="142">
        <v>59536.800000000003</v>
      </c>
      <c r="P50" s="142">
        <v>60262</v>
      </c>
      <c r="Q50" s="142">
        <v>62432.5</v>
      </c>
      <c r="R50" s="142">
        <v>650813.5</v>
      </c>
      <c r="S50" s="144">
        <f t="shared" si="35"/>
        <v>0</v>
      </c>
      <c r="T50" s="145">
        <f>F50/R50*100</f>
        <v>100.00000000000003</v>
      </c>
      <c r="U50" s="145">
        <f t="shared" si="37"/>
        <v>90.667374938597405</v>
      </c>
      <c r="V50" s="142">
        <v>516431.5</v>
      </c>
      <c r="W50" s="144">
        <f t="shared" si="36"/>
        <v>134382.00000000012</v>
      </c>
      <c r="X50" s="145">
        <f>F50/V50*100</f>
        <v>126.02126322658478</v>
      </c>
      <c r="Y50" s="33"/>
      <c r="Z50" s="33"/>
      <c r="AA50" s="33"/>
      <c r="AB50" s="35"/>
    </row>
    <row r="51" spans="1:28" s="8" customFormat="1" ht="39.75" customHeight="1" x14ac:dyDescent="0.25">
      <c r="A51" s="170">
        <f t="shared" ref="A51:A60" si="41">A50+1</f>
        <v>3</v>
      </c>
      <c r="B51" s="178" t="s">
        <v>212</v>
      </c>
      <c r="C51" s="128" t="s">
        <v>55</v>
      </c>
      <c r="D51" s="148">
        <v>0</v>
      </c>
      <c r="E51" s="148">
        <v>0</v>
      </c>
      <c r="F51" s="142">
        <f t="shared" si="20"/>
        <v>0</v>
      </c>
      <c r="G51" s="142">
        <v>0</v>
      </c>
      <c r="H51" s="142">
        <v>0</v>
      </c>
      <c r="I51" s="142">
        <v>0</v>
      </c>
      <c r="J51" s="142">
        <v>0</v>
      </c>
      <c r="K51" s="142">
        <v>0</v>
      </c>
      <c r="L51" s="142">
        <v>0</v>
      </c>
      <c r="M51" s="142">
        <v>0</v>
      </c>
      <c r="N51" s="142">
        <v>0</v>
      </c>
      <c r="O51" s="142">
        <v>0</v>
      </c>
      <c r="P51" s="142">
        <v>0</v>
      </c>
      <c r="Q51" s="142">
        <v>0</v>
      </c>
      <c r="R51" s="142">
        <v>0</v>
      </c>
      <c r="S51" s="144">
        <f t="shared" si="35"/>
        <v>0</v>
      </c>
      <c r="T51" s="145"/>
      <c r="U51" s="145"/>
      <c r="V51" s="142">
        <v>72658.799999999988</v>
      </c>
      <c r="W51" s="144">
        <f t="shared" si="36"/>
        <v>-72658.799999999988</v>
      </c>
      <c r="X51" s="145">
        <f>F51/V51*100</f>
        <v>0</v>
      </c>
      <c r="Y51" s="33"/>
      <c r="Z51" s="33"/>
      <c r="AA51" s="33"/>
      <c r="AB51" s="35"/>
    </row>
    <row r="52" spans="1:28" s="8" customFormat="1" ht="37.5" x14ac:dyDescent="0.25">
      <c r="A52" s="170">
        <f t="shared" si="41"/>
        <v>4</v>
      </c>
      <c r="B52" s="178" t="s">
        <v>213</v>
      </c>
      <c r="C52" s="128" t="s">
        <v>167</v>
      </c>
      <c r="D52" s="148">
        <v>0</v>
      </c>
      <c r="E52" s="148">
        <v>15000</v>
      </c>
      <c r="F52" s="142">
        <f t="shared" si="20"/>
        <v>12500</v>
      </c>
      <c r="G52" s="142">
        <v>0</v>
      </c>
      <c r="H52" s="142">
        <v>0</v>
      </c>
      <c r="I52" s="142">
        <v>0</v>
      </c>
      <c r="J52" s="142">
        <v>0</v>
      </c>
      <c r="K52" s="142">
        <v>3516</v>
      </c>
      <c r="L52" s="142">
        <v>1758</v>
      </c>
      <c r="M52" s="142">
        <v>1758</v>
      </c>
      <c r="N52" s="142">
        <v>1758</v>
      </c>
      <c r="O52" s="142">
        <v>1210</v>
      </c>
      <c r="P52" s="142">
        <v>0</v>
      </c>
      <c r="Q52" s="142">
        <v>2500</v>
      </c>
      <c r="R52" s="142">
        <v>12500</v>
      </c>
      <c r="S52" s="144">
        <f t="shared" si="35"/>
        <v>0</v>
      </c>
      <c r="T52" s="145">
        <f>F52/R52*100</f>
        <v>100</v>
      </c>
      <c r="U52" s="145">
        <f>F52/E52*100</f>
        <v>83.333333333333343</v>
      </c>
      <c r="V52" s="142">
        <v>0</v>
      </c>
      <c r="W52" s="144">
        <f t="shared" si="36"/>
        <v>12500</v>
      </c>
      <c r="X52" s="145"/>
      <c r="Y52" s="33"/>
      <c r="Z52" s="33"/>
      <c r="AA52" s="33"/>
      <c r="AB52" s="35"/>
    </row>
    <row r="53" spans="1:28" s="8" customFormat="1" ht="56.25" x14ac:dyDescent="0.25">
      <c r="A53" s="170">
        <f t="shared" si="41"/>
        <v>5</v>
      </c>
      <c r="B53" s="179" t="s">
        <v>210</v>
      </c>
      <c r="C53" s="164" t="s">
        <v>115</v>
      </c>
      <c r="D53" s="148">
        <v>0</v>
      </c>
      <c r="E53" s="148">
        <v>0</v>
      </c>
      <c r="F53" s="142">
        <f t="shared" si="20"/>
        <v>0</v>
      </c>
      <c r="G53" s="142">
        <v>0</v>
      </c>
      <c r="H53" s="142">
        <v>0</v>
      </c>
      <c r="I53" s="142">
        <v>0</v>
      </c>
      <c r="J53" s="142">
        <v>0</v>
      </c>
      <c r="K53" s="142">
        <v>0</v>
      </c>
      <c r="L53" s="142">
        <v>0</v>
      </c>
      <c r="M53" s="142">
        <v>0</v>
      </c>
      <c r="N53" s="142">
        <v>0</v>
      </c>
      <c r="O53" s="142">
        <v>0</v>
      </c>
      <c r="P53" s="142">
        <v>0</v>
      </c>
      <c r="Q53" s="142">
        <v>0</v>
      </c>
      <c r="R53" s="142">
        <v>0</v>
      </c>
      <c r="S53" s="144">
        <f t="shared" si="35"/>
        <v>0</v>
      </c>
      <c r="T53" s="145"/>
      <c r="U53" s="145"/>
      <c r="V53" s="142">
        <v>12210.8</v>
      </c>
      <c r="W53" s="144">
        <f t="shared" si="36"/>
        <v>-12210.8</v>
      </c>
      <c r="X53" s="145">
        <f>F53/V53*100</f>
        <v>0</v>
      </c>
      <c r="Y53" s="33"/>
      <c r="Z53" s="33"/>
      <c r="AA53" s="33"/>
      <c r="AB53" s="35"/>
    </row>
    <row r="54" spans="1:28" s="8" customFormat="1" ht="206.25" x14ac:dyDescent="0.25">
      <c r="A54" s="170">
        <f t="shared" si="41"/>
        <v>6</v>
      </c>
      <c r="B54" s="179" t="s">
        <v>173</v>
      </c>
      <c r="C54" s="167" t="s">
        <v>174</v>
      </c>
      <c r="D54" s="148">
        <v>0</v>
      </c>
      <c r="E54" s="148">
        <v>3202.9960000000001</v>
      </c>
      <c r="F54" s="142">
        <f t="shared" si="20"/>
        <v>3202.9960000000001</v>
      </c>
      <c r="G54" s="142">
        <v>0</v>
      </c>
      <c r="H54" s="142">
        <v>0</v>
      </c>
      <c r="I54" s="142">
        <v>0</v>
      </c>
      <c r="J54" s="142">
        <v>0</v>
      </c>
      <c r="K54" s="142">
        <v>0</v>
      </c>
      <c r="L54" s="142">
        <v>0</v>
      </c>
      <c r="M54" s="142">
        <v>0</v>
      </c>
      <c r="N54" s="142">
        <v>0</v>
      </c>
      <c r="O54" s="142">
        <v>3202.9960000000001</v>
      </c>
      <c r="P54" s="142">
        <v>0</v>
      </c>
      <c r="Q54" s="142">
        <v>0</v>
      </c>
      <c r="R54" s="142">
        <v>3202.9960000000001</v>
      </c>
      <c r="S54" s="144">
        <f t="shared" si="35"/>
        <v>0</v>
      </c>
      <c r="T54" s="145">
        <f t="shared" ref="T54:T56" si="42">F54/R54*100</f>
        <v>100</v>
      </c>
      <c r="U54" s="145">
        <f t="shared" ref="U54:U60" si="43">F54/E54*100</f>
        <v>100</v>
      </c>
      <c r="V54" s="142">
        <v>7225.5249999999996</v>
      </c>
      <c r="W54" s="144">
        <f t="shared" si="36"/>
        <v>-4022.5289999999995</v>
      </c>
      <c r="X54" s="145">
        <f>F54/V54*100</f>
        <v>44.328903436082499</v>
      </c>
      <c r="Y54" s="33"/>
      <c r="Z54" s="33"/>
      <c r="AA54" s="33"/>
      <c r="AB54" s="35"/>
    </row>
    <row r="55" spans="1:28" s="8" customFormat="1" ht="206.25" x14ac:dyDescent="0.25">
      <c r="A55" s="170">
        <f t="shared" si="41"/>
        <v>7</v>
      </c>
      <c r="B55" s="179" t="s">
        <v>175</v>
      </c>
      <c r="C55" s="167" t="s">
        <v>176</v>
      </c>
      <c r="D55" s="148">
        <v>0</v>
      </c>
      <c r="E55" s="148">
        <v>1387.925</v>
      </c>
      <c r="F55" s="142">
        <f t="shared" si="20"/>
        <v>1387.925</v>
      </c>
      <c r="G55" s="142">
        <v>0</v>
      </c>
      <c r="H55" s="142">
        <v>0</v>
      </c>
      <c r="I55" s="142">
        <v>0</v>
      </c>
      <c r="J55" s="142">
        <v>0</v>
      </c>
      <c r="K55" s="142">
        <v>0</v>
      </c>
      <c r="L55" s="142">
        <v>0</v>
      </c>
      <c r="M55" s="142">
        <v>0</v>
      </c>
      <c r="N55" s="142">
        <v>0</v>
      </c>
      <c r="O55" s="142">
        <v>1387.925</v>
      </c>
      <c r="P55" s="142">
        <v>0</v>
      </c>
      <c r="Q55" s="142">
        <v>0</v>
      </c>
      <c r="R55" s="142">
        <v>1387.925</v>
      </c>
      <c r="S55" s="144">
        <f t="shared" si="35"/>
        <v>0</v>
      </c>
      <c r="T55" s="145">
        <f t="shared" si="42"/>
        <v>100</v>
      </c>
      <c r="U55" s="145">
        <f t="shared" si="43"/>
        <v>100</v>
      </c>
      <c r="V55" s="142">
        <v>1007.963</v>
      </c>
      <c r="W55" s="144">
        <f t="shared" si="36"/>
        <v>379.96199999999999</v>
      </c>
      <c r="X55" s="145">
        <f>F55/V55*100</f>
        <v>137.69602654065676</v>
      </c>
      <c r="Y55" s="33"/>
      <c r="Z55" s="33"/>
      <c r="AA55" s="33"/>
      <c r="AB55" s="35"/>
    </row>
    <row r="56" spans="1:28" s="8" customFormat="1" ht="300" x14ac:dyDescent="0.25">
      <c r="A56" s="170">
        <f t="shared" si="41"/>
        <v>8</v>
      </c>
      <c r="B56" s="179" t="s">
        <v>177</v>
      </c>
      <c r="C56" s="167" t="s">
        <v>178</v>
      </c>
      <c r="D56" s="148">
        <v>0</v>
      </c>
      <c r="E56" s="148">
        <v>2654.32</v>
      </c>
      <c r="F56" s="142">
        <f t="shared" si="20"/>
        <v>2654.32</v>
      </c>
      <c r="G56" s="142">
        <v>0</v>
      </c>
      <c r="H56" s="142">
        <v>0</v>
      </c>
      <c r="I56" s="142">
        <v>0</v>
      </c>
      <c r="J56" s="142">
        <v>0</v>
      </c>
      <c r="K56" s="142">
        <v>0</v>
      </c>
      <c r="L56" s="142">
        <v>0</v>
      </c>
      <c r="M56" s="142">
        <v>0</v>
      </c>
      <c r="N56" s="142">
        <v>0</v>
      </c>
      <c r="O56" s="142">
        <v>2654.32</v>
      </c>
      <c r="P56" s="142">
        <v>0</v>
      </c>
      <c r="Q56" s="142">
        <v>0</v>
      </c>
      <c r="R56" s="142">
        <v>2654.32</v>
      </c>
      <c r="S56" s="144">
        <f t="shared" si="35"/>
        <v>0</v>
      </c>
      <c r="T56" s="145">
        <f t="shared" si="42"/>
        <v>100</v>
      </c>
      <c r="U56" s="145">
        <f t="shared" si="43"/>
        <v>100</v>
      </c>
      <c r="V56" s="142">
        <v>2751.9989999999998</v>
      </c>
      <c r="W56" s="144">
        <f t="shared" si="36"/>
        <v>-97.678999999999633</v>
      </c>
      <c r="X56" s="145">
        <f>F56/V56*100</f>
        <v>96.450616442811224</v>
      </c>
      <c r="Y56" s="33"/>
      <c r="Z56" s="33"/>
      <c r="AA56" s="33"/>
      <c r="AB56" s="35"/>
    </row>
    <row r="57" spans="1:28" s="8" customFormat="1" ht="37.5" x14ac:dyDescent="0.25">
      <c r="A57" s="175">
        <f t="shared" si="41"/>
        <v>9</v>
      </c>
      <c r="B57" s="179" t="s">
        <v>214</v>
      </c>
      <c r="C57" s="164" t="s">
        <v>124</v>
      </c>
      <c r="D57" s="148">
        <v>11474.77</v>
      </c>
      <c r="E57" s="148">
        <v>11474.77</v>
      </c>
      <c r="F57" s="142">
        <f t="shared" si="20"/>
        <v>10403.876</v>
      </c>
      <c r="G57" s="142">
        <v>716.24</v>
      </c>
      <c r="H57" s="142">
        <v>836.27099999999996</v>
      </c>
      <c r="I57" s="142">
        <v>870.92700000000002</v>
      </c>
      <c r="J57" s="142">
        <v>882.48</v>
      </c>
      <c r="K57" s="142">
        <v>1136.6300000000001</v>
      </c>
      <c r="L57" s="142">
        <v>2195.857</v>
      </c>
      <c r="M57" s="142">
        <v>397.28500000000003</v>
      </c>
      <c r="N57" s="142">
        <v>455.04599999999999</v>
      </c>
      <c r="O57" s="142">
        <v>951.75199999999995</v>
      </c>
      <c r="P57" s="142">
        <v>963.34500000000003</v>
      </c>
      <c r="Q57" s="142">
        <v>998.04300000000001</v>
      </c>
      <c r="R57" s="143">
        <v>10403.876</v>
      </c>
      <c r="S57" s="144">
        <f t="shared" si="35"/>
        <v>0</v>
      </c>
      <c r="T57" s="145">
        <f>F57/R57*100</f>
        <v>100</v>
      </c>
      <c r="U57" s="145">
        <f t="shared" si="43"/>
        <v>90.667403355361358</v>
      </c>
      <c r="V57" s="142">
        <v>6365.5230000000001</v>
      </c>
      <c r="W57" s="144">
        <f t="shared" si="36"/>
        <v>4038.3530000000001</v>
      </c>
      <c r="X57" s="145">
        <f>F57/V57*100</f>
        <v>163.44102440600716</v>
      </c>
    </row>
    <row r="58" spans="1:28" s="8" customFormat="1" ht="37.5" x14ac:dyDescent="0.25">
      <c r="A58" s="175">
        <f t="shared" si="41"/>
        <v>10</v>
      </c>
      <c r="B58" s="179" t="s">
        <v>194</v>
      </c>
      <c r="C58" s="174" t="s">
        <v>193</v>
      </c>
      <c r="D58" s="148">
        <v>0</v>
      </c>
      <c r="E58" s="148">
        <v>20.524999999999999</v>
      </c>
      <c r="F58" s="142">
        <f t="shared" si="20"/>
        <v>20.524999999999999</v>
      </c>
      <c r="G58" s="142">
        <v>0</v>
      </c>
      <c r="H58" s="142">
        <v>0</v>
      </c>
      <c r="I58" s="142">
        <v>0</v>
      </c>
      <c r="J58" s="142">
        <v>0</v>
      </c>
      <c r="K58" s="142">
        <v>0</v>
      </c>
      <c r="L58" s="142">
        <v>0</v>
      </c>
      <c r="M58" s="142">
        <v>0</v>
      </c>
      <c r="N58" s="142">
        <v>0</v>
      </c>
      <c r="O58" s="142">
        <v>0</v>
      </c>
      <c r="P58" s="142">
        <v>0</v>
      </c>
      <c r="Q58" s="142">
        <v>20.524999999999999</v>
      </c>
      <c r="R58" s="143">
        <v>20.524999999999999</v>
      </c>
      <c r="S58" s="144">
        <f t="shared" ref="S58" si="44">F58-R58</f>
        <v>0</v>
      </c>
      <c r="T58" s="145">
        <f>F58/R58*100</f>
        <v>100</v>
      </c>
      <c r="U58" s="145">
        <f t="shared" si="43"/>
        <v>100</v>
      </c>
      <c r="V58" s="142">
        <v>0</v>
      </c>
      <c r="W58" s="144">
        <f t="shared" si="36"/>
        <v>20.524999999999999</v>
      </c>
      <c r="X58" s="145"/>
    </row>
    <row r="59" spans="1:28" s="8" customFormat="1" ht="56.25" x14ac:dyDescent="0.25">
      <c r="A59" s="175">
        <f t="shared" si="41"/>
        <v>11</v>
      </c>
      <c r="B59" s="179" t="s">
        <v>215</v>
      </c>
      <c r="C59" s="164">
        <v>41051200</v>
      </c>
      <c r="D59" s="148">
        <v>4100.6319999999996</v>
      </c>
      <c r="E59" s="148">
        <v>4100.6319999999996</v>
      </c>
      <c r="F59" s="142">
        <f t="shared" si="20"/>
        <v>3306.4949999999994</v>
      </c>
      <c r="G59" s="142">
        <v>203.22900000000001</v>
      </c>
      <c r="H59" s="142">
        <v>203.22900000000001</v>
      </c>
      <c r="I59" s="142">
        <v>203.22900000000001</v>
      </c>
      <c r="J59" s="142">
        <v>297.09899999999999</v>
      </c>
      <c r="K59" s="142">
        <v>226.691</v>
      </c>
      <c r="L59" s="142">
        <v>633.12699999999995</v>
      </c>
      <c r="M59" s="142">
        <v>226.691</v>
      </c>
      <c r="N59" s="142">
        <v>226.691</v>
      </c>
      <c r="O59" s="142">
        <v>226.691</v>
      </c>
      <c r="P59" s="142">
        <v>226.691</v>
      </c>
      <c r="Q59" s="142">
        <v>633.12699999999995</v>
      </c>
      <c r="R59" s="143">
        <v>3306.4949999999999</v>
      </c>
      <c r="S59" s="144">
        <f t="shared" si="35"/>
        <v>0</v>
      </c>
      <c r="T59" s="145">
        <f>F59/R59*100</f>
        <v>99.999999999999986</v>
      </c>
      <c r="U59" s="145">
        <f t="shared" si="43"/>
        <v>80.633790108451564</v>
      </c>
      <c r="V59" s="142">
        <v>3327.2890000000002</v>
      </c>
      <c r="W59" s="144">
        <f t="shared" si="36"/>
        <v>-20.794000000000779</v>
      </c>
      <c r="X59" s="145">
        <f>F59/V59*100</f>
        <v>99.375046772312217</v>
      </c>
    </row>
    <row r="60" spans="1:28" s="8" customFormat="1" ht="56.25" x14ac:dyDescent="0.25">
      <c r="A60" s="170">
        <f t="shared" si="41"/>
        <v>12</v>
      </c>
      <c r="B60" s="179" t="s">
        <v>216</v>
      </c>
      <c r="C60" s="164" t="s">
        <v>166</v>
      </c>
      <c r="D60" s="148">
        <v>0</v>
      </c>
      <c r="E60" s="148">
        <v>10198.897000000001</v>
      </c>
      <c r="F60" s="142">
        <f t="shared" si="20"/>
        <v>10198.897000000001</v>
      </c>
      <c r="G60" s="142">
        <v>0</v>
      </c>
      <c r="H60" s="142">
        <v>0</v>
      </c>
      <c r="I60" s="142">
        <v>0</v>
      </c>
      <c r="J60" s="142">
        <v>0</v>
      </c>
      <c r="K60" s="142">
        <v>0</v>
      </c>
      <c r="L60" s="142">
        <v>0</v>
      </c>
      <c r="M60" s="142">
        <v>0</v>
      </c>
      <c r="N60" s="142">
        <v>7302.4260000000004</v>
      </c>
      <c r="O60" s="142">
        <v>2896.471</v>
      </c>
      <c r="P60" s="142">
        <v>0</v>
      </c>
      <c r="Q60" s="142">
        <v>0</v>
      </c>
      <c r="R60" s="143">
        <v>10198.897000000001</v>
      </c>
      <c r="S60" s="144">
        <f t="shared" si="35"/>
        <v>0</v>
      </c>
      <c r="T60" s="145">
        <f>F60/R60*100</f>
        <v>100</v>
      </c>
      <c r="U60" s="145">
        <f t="shared" si="43"/>
        <v>100</v>
      </c>
      <c r="V60" s="142">
        <v>11516.505999999999</v>
      </c>
      <c r="W60" s="144">
        <f t="shared" si="36"/>
        <v>-1317.6089999999986</v>
      </c>
      <c r="X60" s="145">
        <f>F60/V60*100</f>
        <v>88.558951820977654</v>
      </c>
    </row>
    <row r="61" spans="1:28" s="8" customFormat="1" ht="37.5" x14ac:dyDescent="0.25">
      <c r="A61" s="195">
        <v>13</v>
      </c>
      <c r="B61" s="179" t="s">
        <v>232</v>
      </c>
      <c r="C61" s="196" t="s">
        <v>104</v>
      </c>
      <c r="D61" s="148">
        <f>SUM(D62:D63)</f>
        <v>0</v>
      </c>
      <c r="E61" s="148">
        <f>SUM(E62:E63)</f>
        <v>0</v>
      </c>
      <c r="F61" s="142">
        <f t="shared" si="20"/>
        <v>0</v>
      </c>
      <c r="G61" s="142">
        <f>SUM(G62:G63)</f>
        <v>0</v>
      </c>
      <c r="H61" s="142">
        <v>0</v>
      </c>
      <c r="I61" s="142">
        <v>0</v>
      </c>
      <c r="J61" s="142">
        <v>0</v>
      </c>
      <c r="K61" s="142">
        <v>0</v>
      </c>
      <c r="L61" s="142">
        <v>0</v>
      </c>
      <c r="M61" s="142">
        <v>0</v>
      </c>
      <c r="N61" s="142">
        <v>0</v>
      </c>
      <c r="O61" s="142">
        <v>0</v>
      </c>
      <c r="P61" s="142">
        <v>0</v>
      </c>
      <c r="Q61" s="142">
        <v>0</v>
      </c>
      <c r="R61" s="143">
        <f>SUM(R62:R63)</f>
        <v>0</v>
      </c>
      <c r="S61" s="144">
        <f t="shared" si="35"/>
        <v>0</v>
      </c>
      <c r="T61" s="145"/>
      <c r="U61" s="145"/>
      <c r="V61" s="142">
        <v>5611.1929999999993</v>
      </c>
      <c r="W61" s="144">
        <f t="shared" si="36"/>
        <v>-5611.1929999999993</v>
      </c>
      <c r="X61" s="145"/>
    </row>
    <row r="62" spans="1:28" s="32" customFormat="1" ht="56.25" hidden="1" x14ac:dyDescent="0.25">
      <c r="A62" s="195"/>
      <c r="B62" s="180" t="s">
        <v>90</v>
      </c>
      <c r="C62" s="196"/>
      <c r="D62" s="149">
        <v>0</v>
      </c>
      <c r="E62" s="149">
        <v>0</v>
      </c>
      <c r="F62" s="146">
        <f t="shared" si="20"/>
        <v>0</v>
      </c>
      <c r="G62" s="146">
        <v>0</v>
      </c>
      <c r="H62" s="146">
        <v>0</v>
      </c>
      <c r="I62" s="146">
        <v>0</v>
      </c>
      <c r="J62" s="146">
        <v>0</v>
      </c>
      <c r="K62" s="146">
        <v>0</v>
      </c>
      <c r="L62" s="146">
        <v>0</v>
      </c>
      <c r="M62" s="146">
        <v>0</v>
      </c>
      <c r="N62" s="146">
        <v>0</v>
      </c>
      <c r="O62" s="146">
        <v>0</v>
      </c>
      <c r="P62" s="146">
        <v>0</v>
      </c>
      <c r="Q62" s="146">
        <v>0</v>
      </c>
      <c r="R62" s="91">
        <v>0</v>
      </c>
      <c r="S62" s="92">
        <f t="shared" si="35"/>
        <v>0</v>
      </c>
      <c r="T62" s="147"/>
      <c r="U62" s="147"/>
      <c r="V62" s="146">
        <v>3462.7930000000001</v>
      </c>
      <c r="W62" s="92">
        <f t="shared" si="36"/>
        <v>-3462.7930000000001</v>
      </c>
      <c r="X62" s="147"/>
    </row>
    <row r="63" spans="1:28" s="32" customFormat="1" ht="37.5" hidden="1" x14ac:dyDescent="0.25">
      <c r="A63" s="195"/>
      <c r="B63" s="180" t="s">
        <v>100</v>
      </c>
      <c r="C63" s="196"/>
      <c r="D63" s="149">
        <v>0</v>
      </c>
      <c r="E63" s="149">
        <f t="shared" ref="E63" si="45">D63</f>
        <v>0</v>
      </c>
      <c r="F63" s="146">
        <f t="shared" si="20"/>
        <v>0</v>
      </c>
      <c r="G63" s="146">
        <v>0</v>
      </c>
      <c r="H63" s="146">
        <v>0</v>
      </c>
      <c r="I63" s="146">
        <v>0</v>
      </c>
      <c r="J63" s="146">
        <v>0</v>
      </c>
      <c r="K63" s="146">
        <v>0</v>
      </c>
      <c r="L63" s="146">
        <v>0</v>
      </c>
      <c r="M63" s="146">
        <v>0</v>
      </c>
      <c r="N63" s="146">
        <v>0</v>
      </c>
      <c r="O63" s="146">
        <v>0</v>
      </c>
      <c r="P63" s="146">
        <v>0</v>
      </c>
      <c r="Q63" s="146">
        <v>0</v>
      </c>
      <c r="R63" s="91">
        <v>0</v>
      </c>
      <c r="S63" s="92">
        <f t="shared" si="35"/>
        <v>0</v>
      </c>
      <c r="T63" s="147"/>
      <c r="U63" s="147"/>
      <c r="V63" s="146">
        <v>2148.4</v>
      </c>
      <c r="W63" s="92">
        <f t="shared" si="36"/>
        <v>-2148.4</v>
      </c>
      <c r="X63" s="147"/>
      <c r="AA63" s="32" t="e">
        <f>Y63/#REF!*100</f>
        <v>#REF!</v>
      </c>
    </row>
    <row r="64" spans="1:28" s="32" customFormat="1" ht="56.25" x14ac:dyDescent="0.25">
      <c r="A64" s="163">
        <v>14</v>
      </c>
      <c r="B64" s="179" t="s">
        <v>217</v>
      </c>
      <c r="C64" s="164">
        <v>41051700</v>
      </c>
      <c r="D64" s="148">
        <v>0</v>
      </c>
      <c r="E64" s="148">
        <v>0</v>
      </c>
      <c r="F64" s="142">
        <f t="shared" si="20"/>
        <v>0</v>
      </c>
      <c r="G64" s="142">
        <v>0</v>
      </c>
      <c r="H64" s="142">
        <v>0</v>
      </c>
      <c r="I64" s="142">
        <v>0</v>
      </c>
      <c r="J64" s="142">
        <v>0</v>
      </c>
      <c r="K64" s="142">
        <v>0</v>
      </c>
      <c r="L64" s="142">
        <v>0</v>
      </c>
      <c r="M64" s="142">
        <v>0</v>
      </c>
      <c r="N64" s="142">
        <v>0</v>
      </c>
      <c r="O64" s="142">
        <v>0</v>
      </c>
      <c r="P64" s="142">
        <v>0</v>
      </c>
      <c r="Q64" s="142">
        <v>0</v>
      </c>
      <c r="R64" s="142">
        <v>0</v>
      </c>
      <c r="S64" s="142">
        <v>0</v>
      </c>
      <c r="T64" s="147"/>
      <c r="U64" s="147"/>
      <c r="V64" s="142">
        <v>462.70299999999997</v>
      </c>
      <c r="W64" s="144">
        <f t="shared" si="36"/>
        <v>-462.70299999999997</v>
      </c>
      <c r="X64" s="147"/>
    </row>
    <row r="65" spans="1:26" s="32" customFormat="1" ht="56.25" x14ac:dyDescent="0.25">
      <c r="A65" s="170">
        <f>A64+1</f>
        <v>15</v>
      </c>
      <c r="B65" s="179" t="s">
        <v>218</v>
      </c>
      <c r="C65" s="171" t="s">
        <v>183</v>
      </c>
      <c r="D65" s="148">
        <v>0</v>
      </c>
      <c r="E65" s="148">
        <v>0</v>
      </c>
      <c r="F65" s="142">
        <f t="shared" si="20"/>
        <v>0</v>
      </c>
      <c r="G65" s="142">
        <v>0</v>
      </c>
      <c r="H65" s="142">
        <v>0</v>
      </c>
      <c r="I65" s="142">
        <v>0</v>
      </c>
      <c r="J65" s="142">
        <v>0</v>
      </c>
      <c r="K65" s="142">
        <v>0</v>
      </c>
      <c r="L65" s="142">
        <v>0</v>
      </c>
      <c r="M65" s="142">
        <v>0</v>
      </c>
      <c r="N65" s="142">
        <v>0</v>
      </c>
      <c r="O65" s="142">
        <v>0</v>
      </c>
      <c r="P65" s="142">
        <v>0</v>
      </c>
      <c r="Q65" s="142">
        <v>0</v>
      </c>
      <c r="R65" s="142">
        <v>0</v>
      </c>
      <c r="S65" s="142">
        <v>0</v>
      </c>
      <c r="T65" s="147"/>
      <c r="U65" s="147"/>
      <c r="V65" s="142">
        <v>8530.7870000000003</v>
      </c>
      <c r="W65" s="144">
        <f t="shared" si="36"/>
        <v>-8530.7870000000003</v>
      </c>
      <c r="X65" s="147"/>
    </row>
    <row r="66" spans="1:26" s="8" customFormat="1" ht="56.25" x14ac:dyDescent="0.25">
      <c r="A66" s="170">
        <f t="shared" ref="A66:A69" si="46">A65+1</f>
        <v>16</v>
      </c>
      <c r="B66" s="181" t="s">
        <v>195</v>
      </c>
      <c r="C66" s="164" t="s">
        <v>130</v>
      </c>
      <c r="D66" s="148">
        <v>7100</v>
      </c>
      <c r="E66" s="148">
        <v>17595.896000000001</v>
      </c>
      <c r="F66" s="142">
        <f t="shared" si="20"/>
        <v>17298.433999999997</v>
      </c>
      <c r="G66" s="142">
        <v>1183.3330000000001</v>
      </c>
      <c r="H66" s="142">
        <v>1183.3330000000001</v>
      </c>
      <c r="I66" s="142">
        <v>1183.3330000000001</v>
      </c>
      <c r="J66" s="142">
        <v>1183.3330000000001</v>
      </c>
      <c r="K66" s="142">
        <v>3056.2190000000001</v>
      </c>
      <c r="L66" s="142">
        <v>3087.8420000000001</v>
      </c>
      <c r="M66" s="142">
        <v>1510.6569999999999</v>
      </c>
      <c r="N66" s="142">
        <v>1510.6569999999999</v>
      </c>
      <c r="O66" s="142">
        <v>3697.1880000000001</v>
      </c>
      <c r="P66" s="142">
        <v>0</v>
      </c>
      <c r="Q66" s="142">
        <v>-297.46100000000001</v>
      </c>
      <c r="R66" s="143">
        <v>17595.895</v>
      </c>
      <c r="S66" s="144">
        <f t="shared" ref="S66:S75" si="47">F66-R66</f>
        <v>-297.46100000000297</v>
      </c>
      <c r="T66" s="145">
        <f t="shared" ref="T66:T75" si="48">F66/R66*100</f>
        <v>98.309486388728715</v>
      </c>
      <c r="U66" s="145">
        <f>F66/E66*100</f>
        <v>98.309480801659646</v>
      </c>
      <c r="V66" s="142">
        <v>12058.1</v>
      </c>
      <c r="W66" s="144">
        <f t="shared" si="36"/>
        <v>5240.3339999999971</v>
      </c>
      <c r="X66" s="145">
        <f>F66/V66*100</f>
        <v>143.459035834833</v>
      </c>
      <c r="Y66" s="142"/>
      <c r="Z66" s="142"/>
    </row>
    <row r="67" spans="1:26" s="8" customFormat="1" ht="75" x14ac:dyDescent="0.25">
      <c r="A67" s="170">
        <f t="shared" si="46"/>
        <v>17</v>
      </c>
      <c r="B67" s="181" t="s">
        <v>184</v>
      </c>
      <c r="C67" s="171" t="s">
        <v>185</v>
      </c>
      <c r="D67" s="148">
        <v>0</v>
      </c>
      <c r="E67" s="148">
        <v>0</v>
      </c>
      <c r="F67" s="142">
        <f t="shared" si="20"/>
        <v>0</v>
      </c>
      <c r="G67" s="142">
        <v>0</v>
      </c>
      <c r="H67" s="142">
        <v>0</v>
      </c>
      <c r="I67" s="142">
        <v>0</v>
      </c>
      <c r="J67" s="142">
        <v>0</v>
      </c>
      <c r="K67" s="142">
        <v>0</v>
      </c>
      <c r="L67" s="142">
        <v>0</v>
      </c>
      <c r="M67" s="142">
        <v>0</v>
      </c>
      <c r="N67" s="142">
        <v>0</v>
      </c>
      <c r="O67" s="142">
        <v>0</v>
      </c>
      <c r="P67" s="142">
        <v>0</v>
      </c>
      <c r="Q67" s="142">
        <v>0</v>
      </c>
      <c r="R67" s="143">
        <v>0</v>
      </c>
      <c r="S67" s="144">
        <f t="shared" si="47"/>
        <v>0</v>
      </c>
      <c r="T67" s="145"/>
      <c r="U67" s="145"/>
      <c r="V67" s="142">
        <v>4679.99</v>
      </c>
      <c r="W67" s="144">
        <f t="shared" si="36"/>
        <v>-4679.99</v>
      </c>
      <c r="X67" s="145"/>
      <c r="Y67" s="142"/>
      <c r="Z67" s="142"/>
    </row>
    <row r="68" spans="1:26" s="8" customFormat="1" ht="93.75" x14ac:dyDescent="0.25">
      <c r="A68" s="172">
        <f t="shared" si="46"/>
        <v>18</v>
      </c>
      <c r="B68" s="179" t="s">
        <v>219</v>
      </c>
      <c r="C68" s="173" t="s">
        <v>188</v>
      </c>
      <c r="D68" s="148">
        <v>0</v>
      </c>
      <c r="E68" s="148">
        <v>0</v>
      </c>
      <c r="F68" s="142">
        <f t="shared" ref="F68" si="49">SUM(G68:Q68)</f>
        <v>0</v>
      </c>
      <c r="G68" s="142">
        <v>0</v>
      </c>
      <c r="H68" s="142">
        <v>0</v>
      </c>
      <c r="I68" s="142">
        <v>0</v>
      </c>
      <c r="J68" s="142">
        <v>0</v>
      </c>
      <c r="K68" s="142">
        <v>0</v>
      </c>
      <c r="L68" s="142">
        <v>0</v>
      </c>
      <c r="M68" s="142">
        <v>0</v>
      </c>
      <c r="N68" s="142">
        <v>0</v>
      </c>
      <c r="O68" s="142">
        <v>0</v>
      </c>
      <c r="P68" s="142">
        <v>0</v>
      </c>
      <c r="Q68" s="142">
        <v>0</v>
      </c>
      <c r="R68" s="143">
        <v>0</v>
      </c>
      <c r="S68" s="144">
        <f t="shared" ref="S68" si="50">F68-R68</f>
        <v>0</v>
      </c>
      <c r="T68" s="145"/>
      <c r="U68" s="145"/>
      <c r="V68" s="142">
        <v>2888.83</v>
      </c>
      <c r="W68" s="144">
        <f t="shared" si="36"/>
        <v>-2888.83</v>
      </c>
      <c r="X68" s="145"/>
      <c r="Y68" s="142"/>
      <c r="Z68" s="142"/>
    </row>
    <row r="69" spans="1:26" s="8" customFormat="1" ht="23.25" x14ac:dyDescent="0.25">
      <c r="A69" s="172">
        <f t="shared" si="46"/>
        <v>19</v>
      </c>
      <c r="B69" s="181" t="s">
        <v>220</v>
      </c>
      <c r="C69" s="164" t="s">
        <v>116</v>
      </c>
      <c r="D69" s="148">
        <f>SUM(D70:D75)</f>
        <v>3644</v>
      </c>
      <c r="E69" s="148">
        <f>SUM(E70:E77)</f>
        <v>5235.0360000000001</v>
      </c>
      <c r="F69" s="142">
        <f t="shared" si="20"/>
        <v>4326.6099999999997</v>
      </c>
      <c r="G69" s="142">
        <f t="shared" ref="G69:J69" si="51">SUM(G70:G75)</f>
        <v>0</v>
      </c>
      <c r="H69" s="142">
        <f t="shared" si="51"/>
        <v>57.276000000000003</v>
      </c>
      <c r="I69" s="142">
        <f t="shared" si="51"/>
        <v>466.01499999999999</v>
      </c>
      <c r="J69" s="142">
        <f t="shared" si="51"/>
        <v>231.05500000000001</v>
      </c>
      <c r="K69" s="142">
        <f t="shared" ref="K69:O69" si="52">SUM(K70:K75)</f>
        <v>320.97299999999996</v>
      </c>
      <c r="L69" s="142">
        <f t="shared" si="52"/>
        <v>297.8</v>
      </c>
      <c r="M69" s="142">
        <f t="shared" si="52"/>
        <v>158.9</v>
      </c>
      <c r="N69" s="142">
        <f t="shared" si="52"/>
        <v>738.21600000000001</v>
      </c>
      <c r="O69" s="142">
        <f t="shared" si="52"/>
        <v>954.26</v>
      </c>
      <c r="P69" s="142">
        <f t="shared" ref="P69" si="53">SUM(P70:P75)</f>
        <v>470.50700000000001</v>
      </c>
      <c r="Q69" s="142">
        <f>SUM(Q70:Q77)</f>
        <v>631.60799999999995</v>
      </c>
      <c r="R69" s="142">
        <f>SUM(R70:R77)</f>
        <v>4873.576</v>
      </c>
      <c r="S69" s="144">
        <f t="shared" si="47"/>
        <v>-546.96600000000035</v>
      </c>
      <c r="T69" s="145">
        <f t="shared" si="48"/>
        <v>88.776906320943795</v>
      </c>
      <c r="U69" s="145">
        <f t="shared" ref="U69:U76" si="54">F69/E69*100</f>
        <v>82.647187144462791</v>
      </c>
      <c r="V69" s="142">
        <f>SUM(V70:V77)</f>
        <v>3183.0659999999998</v>
      </c>
      <c r="W69" s="144">
        <f t="shared" si="36"/>
        <v>1143.5439999999999</v>
      </c>
      <c r="X69" s="145">
        <f>F69/V69*100</f>
        <v>135.92586518784091</v>
      </c>
      <c r="Y69" s="142">
        <v>5098.8379999999997</v>
      </c>
      <c r="Z69" s="142">
        <f>Y69-V69</f>
        <v>1915.7719999999999</v>
      </c>
    </row>
    <row r="70" spans="1:26" s="32" customFormat="1" ht="37.5" x14ac:dyDescent="0.25">
      <c r="A70" s="130" t="s">
        <v>202</v>
      </c>
      <c r="B70" s="98" t="s">
        <v>221</v>
      </c>
      <c r="C70" s="79"/>
      <c r="D70" s="149">
        <v>105</v>
      </c>
      <c r="E70" s="149">
        <v>105</v>
      </c>
      <c r="F70" s="146">
        <f t="shared" si="20"/>
        <v>83.575999999999993</v>
      </c>
      <c r="G70" s="146">
        <v>0</v>
      </c>
      <c r="H70" s="146">
        <v>0</v>
      </c>
      <c r="I70" s="146">
        <v>26.257000000000001</v>
      </c>
      <c r="J70" s="146">
        <v>5.5039999999999996</v>
      </c>
      <c r="K70" s="146">
        <f>12</f>
        <v>12</v>
      </c>
      <c r="L70" s="146">
        <v>7.8360000000000003</v>
      </c>
      <c r="M70" s="146">
        <v>0</v>
      </c>
      <c r="N70" s="146">
        <f>3.454+9.512</f>
        <v>12.966000000000001</v>
      </c>
      <c r="O70" s="146">
        <v>9.6329999999999991</v>
      </c>
      <c r="P70" s="146">
        <f>9.38</f>
        <v>9.3800000000000008</v>
      </c>
      <c r="Q70" s="146">
        <v>0</v>
      </c>
      <c r="R70" s="91">
        <v>96.272999999999996</v>
      </c>
      <c r="S70" s="92">
        <f t="shared" si="47"/>
        <v>-12.697000000000003</v>
      </c>
      <c r="T70" s="147">
        <f t="shared" si="48"/>
        <v>86.811463234759472</v>
      </c>
      <c r="U70" s="147">
        <f t="shared" si="54"/>
        <v>79.596190476190458</v>
      </c>
      <c r="V70" s="146">
        <v>69.138000000000005</v>
      </c>
      <c r="W70" s="92">
        <f t="shared" si="36"/>
        <v>14.437999999999988</v>
      </c>
      <c r="X70" s="147">
        <f>F70/V70*100</f>
        <v>120.88287193728485</v>
      </c>
    </row>
    <row r="71" spans="1:26" s="32" customFormat="1" ht="37.5" x14ac:dyDescent="0.25">
      <c r="A71" s="130" t="s">
        <v>203</v>
      </c>
      <c r="B71" s="98" t="s">
        <v>222</v>
      </c>
      <c r="C71" s="79"/>
      <c r="D71" s="149">
        <v>1246.7</v>
      </c>
      <c r="E71" s="149">
        <v>1246.7</v>
      </c>
      <c r="F71" s="146">
        <f t="shared" si="20"/>
        <v>1057.7670000000001</v>
      </c>
      <c r="G71" s="146">
        <v>0</v>
      </c>
      <c r="H71" s="146">
        <v>57.276000000000003</v>
      </c>
      <c r="I71" s="146">
        <v>61.982999999999997</v>
      </c>
      <c r="J71" s="146">
        <v>122.77</v>
      </c>
      <c r="K71" s="146">
        <f>136.271</f>
        <v>136.27099999999999</v>
      </c>
      <c r="L71" s="146">
        <v>142.262</v>
      </c>
      <c r="M71" s="146">
        <v>0</v>
      </c>
      <c r="N71" s="146">
        <f>97.286+47.175</f>
        <v>144.46100000000001</v>
      </c>
      <c r="O71" s="146">
        <v>65.724000000000004</v>
      </c>
      <c r="P71" s="146">
        <f>153.466</f>
        <v>153.46600000000001</v>
      </c>
      <c r="Q71" s="146">
        <v>173.554</v>
      </c>
      <c r="R71" s="91">
        <v>1057.7670000000001</v>
      </c>
      <c r="S71" s="92">
        <f t="shared" si="47"/>
        <v>0</v>
      </c>
      <c r="T71" s="147">
        <f t="shared" si="48"/>
        <v>100</v>
      </c>
      <c r="U71" s="147">
        <f t="shared" si="54"/>
        <v>84.845351728563415</v>
      </c>
      <c r="V71" s="146">
        <v>1049.06</v>
      </c>
      <c r="W71" s="92">
        <f t="shared" ref="W71:W77" si="55">F71-V71</f>
        <v>8.7070000000001073</v>
      </c>
      <c r="X71" s="147">
        <f>F71/V71*100</f>
        <v>100.8299811259604</v>
      </c>
    </row>
    <row r="72" spans="1:26" s="32" customFormat="1" ht="75" x14ac:dyDescent="0.25">
      <c r="A72" s="130" t="s">
        <v>204</v>
      </c>
      <c r="B72" s="98" t="s">
        <v>223</v>
      </c>
      <c r="C72" s="79"/>
      <c r="D72" s="149">
        <v>292.3</v>
      </c>
      <c r="E72" s="149">
        <v>292.3</v>
      </c>
      <c r="F72" s="146">
        <f t="shared" si="20"/>
        <v>292.29999999999995</v>
      </c>
      <c r="G72" s="146">
        <v>0</v>
      </c>
      <c r="H72" s="146">
        <v>0</v>
      </c>
      <c r="I72" s="146">
        <v>146.136</v>
      </c>
      <c r="J72" s="146">
        <v>0</v>
      </c>
      <c r="K72" s="146">
        <v>0</v>
      </c>
      <c r="L72" s="146">
        <v>0</v>
      </c>
      <c r="M72" s="146">
        <v>0</v>
      </c>
      <c r="N72" s="146">
        <v>0</v>
      </c>
      <c r="O72" s="146">
        <v>146.16399999999999</v>
      </c>
      <c r="P72" s="146">
        <v>0</v>
      </c>
      <c r="Q72" s="146">
        <v>0</v>
      </c>
      <c r="R72" s="91">
        <v>292.3</v>
      </c>
      <c r="S72" s="92">
        <f t="shared" si="47"/>
        <v>0</v>
      </c>
      <c r="T72" s="147">
        <f t="shared" si="48"/>
        <v>99.999999999999972</v>
      </c>
      <c r="U72" s="147">
        <f t="shared" si="54"/>
        <v>99.999999999999972</v>
      </c>
      <c r="V72" s="146">
        <v>292.29999999999995</v>
      </c>
      <c r="W72" s="92">
        <f t="shared" si="55"/>
        <v>0</v>
      </c>
      <c r="X72" s="147">
        <f>F72/V72*100</f>
        <v>100</v>
      </c>
    </row>
    <row r="73" spans="1:26" s="32" customFormat="1" ht="56.25" x14ac:dyDescent="0.25">
      <c r="A73" s="130" t="s">
        <v>205</v>
      </c>
      <c r="B73" s="98" t="s">
        <v>224</v>
      </c>
      <c r="C73" s="79"/>
      <c r="D73" s="149">
        <v>0</v>
      </c>
      <c r="E73" s="149">
        <f>334.42+147.702+147.702+295.404+295.404+295.404</f>
        <v>1516.0360000000001</v>
      </c>
      <c r="F73" s="146">
        <f t="shared" si="20"/>
        <v>1516.0360000000001</v>
      </c>
      <c r="G73" s="146">
        <v>0</v>
      </c>
      <c r="H73" s="146">
        <v>0</v>
      </c>
      <c r="I73" s="146">
        <v>231.63900000000001</v>
      </c>
      <c r="J73" s="146">
        <v>102.78100000000001</v>
      </c>
      <c r="K73" s="146">
        <v>147.702</v>
      </c>
      <c r="L73" s="146">
        <v>147.702</v>
      </c>
      <c r="M73" s="146">
        <v>0</v>
      </c>
      <c r="N73" s="146">
        <v>295.404</v>
      </c>
      <c r="O73" s="146">
        <v>0</v>
      </c>
      <c r="P73" s="146">
        <f>295.404</f>
        <v>295.404</v>
      </c>
      <c r="Q73" s="146">
        <v>295.404</v>
      </c>
      <c r="R73" s="91">
        <v>1516.0360000000001</v>
      </c>
      <c r="S73" s="92">
        <f t="shared" si="47"/>
        <v>0</v>
      </c>
      <c r="T73" s="147">
        <f t="shared" si="48"/>
        <v>100</v>
      </c>
      <c r="U73" s="147">
        <f t="shared" si="54"/>
        <v>100</v>
      </c>
      <c r="V73" s="146">
        <v>772.5680000000001</v>
      </c>
      <c r="W73" s="92">
        <f t="shared" si="55"/>
        <v>743.46799999999996</v>
      </c>
      <c r="X73" s="147">
        <f>F73/V73*100</f>
        <v>196.23334127222455</v>
      </c>
    </row>
    <row r="74" spans="1:26" s="32" customFormat="1" ht="75" x14ac:dyDescent="0.25">
      <c r="A74" s="130" t="s">
        <v>206</v>
      </c>
      <c r="B74" s="98" t="s">
        <v>225</v>
      </c>
      <c r="C74" s="79"/>
      <c r="D74" s="149">
        <v>2000</v>
      </c>
      <c r="E74" s="149">
        <v>2000</v>
      </c>
      <c r="F74" s="146">
        <f>SUM(G74:Q74)</f>
        <v>1301.931</v>
      </c>
      <c r="G74" s="146">
        <v>0</v>
      </c>
      <c r="H74" s="146">
        <v>0</v>
      </c>
      <c r="I74" s="146">
        <v>0</v>
      </c>
      <c r="J74" s="146">
        <v>0</v>
      </c>
      <c r="K74" s="146">
        <v>0</v>
      </c>
      <c r="L74" s="146">
        <v>0</v>
      </c>
      <c r="M74" s="146">
        <v>158.9</v>
      </c>
      <c r="N74" s="146">
        <v>285.38499999999999</v>
      </c>
      <c r="O74" s="146">
        <f>470.8+261.939</f>
        <v>732.73900000000003</v>
      </c>
      <c r="P74" s="146">
        <v>12.257</v>
      </c>
      <c r="Q74" s="146">
        <v>112.65</v>
      </c>
      <c r="R74" s="91">
        <v>1836.2</v>
      </c>
      <c r="S74" s="92">
        <f t="shared" si="47"/>
        <v>-534.26900000000001</v>
      </c>
      <c r="T74" s="147">
        <f t="shared" si="48"/>
        <v>70.903550811458445</v>
      </c>
      <c r="U74" s="147">
        <f t="shared" si="54"/>
        <v>65.096549999999993</v>
      </c>
      <c r="V74" s="146">
        <v>0</v>
      </c>
      <c r="W74" s="92">
        <f t="shared" si="55"/>
        <v>1301.931</v>
      </c>
      <c r="X74" s="147"/>
    </row>
    <row r="75" spans="1:26" s="32" customFormat="1" ht="133.5" customHeight="1" x14ac:dyDescent="0.25">
      <c r="A75" s="130" t="s">
        <v>207</v>
      </c>
      <c r="B75" s="98" t="s">
        <v>226</v>
      </c>
      <c r="C75" s="79"/>
      <c r="D75" s="149">
        <v>0</v>
      </c>
      <c r="E75" s="149">
        <v>25</v>
      </c>
      <c r="F75" s="146">
        <f>SUM(G75:Q75)</f>
        <v>25</v>
      </c>
      <c r="G75" s="146">
        <v>0</v>
      </c>
      <c r="H75" s="146">
        <v>0</v>
      </c>
      <c r="I75" s="146">
        <v>0</v>
      </c>
      <c r="J75" s="146">
        <v>0</v>
      </c>
      <c r="K75" s="146">
        <v>25</v>
      </c>
      <c r="L75" s="146">
        <v>0</v>
      </c>
      <c r="M75" s="146">
        <v>0</v>
      </c>
      <c r="N75" s="146">
        <v>0</v>
      </c>
      <c r="O75" s="146">
        <v>0</v>
      </c>
      <c r="P75" s="146">
        <v>0</v>
      </c>
      <c r="Q75" s="146">
        <v>0</v>
      </c>
      <c r="R75" s="91">
        <v>25</v>
      </c>
      <c r="S75" s="92">
        <f t="shared" si="47"/>
        <v>0</v>
      </c>
      <c r="T75" s="147">
        <f t="shared" si="48"/>
        <v>100</v>
      </c>
      <c r="U75" s="147">
        <f t="shared" si="54"/>
        <v>100</v>
      </c>
      <c r="V75" s="146">
        <v>0</v>
      </c>
      <c r="W75" s="92">
        <f t="shared" si="55"/>
        <v>25</v>
      </c>
      <c r="X75" s="147"/>
    </row>
    <row r="76" spans="1:26" s="32" customFormat="1" ht="99.75" customHeight="1" x14ac:dyDescent="0.25">
      <c r="A76" s="130" t="s">
        <v>208</v>
      </c>
      <c r="B76" s="98" t="s">
        <v>190</v>
      </c>
      <c r="C76" s="79"/>
      <c r="D76" s="149">
        <v>0</v>
      </c>
      <c r="E76" s="149">
        <v>50</v>
      </c>
      <c r="F76" s="146">
        <f>SUM(G76:Q76)</f>
        <v>50</v>
      </c>
      <c r="G76" s="146">
        <v>0</v>
      </c>
      <c r="H76" s="146">
        <v>0</v>
      </c>
      <c r="I76" s="146">
        <v>0</v>
      </c>
      <c r="J76" s="146">
        <v>0</v>
      </c>
      <c r="K76" s="146">
        <v>0</v>
      </c>
      <c r="L76" s="146">
        <v>0</v>
      </c>
      <c r="M76" s="146">
        <v>0</v>
      </c>
      <c r="N76" s="146">
        <v>0</v>
      </c>
      <c r="O76" s="146">
        <v>0</v>
      </c>
      <c r="P76" s="146">
        <v>0</v>
      </c>
      <c r="Q76" s="146">
        <v>50</v>
      </c>
      <c r="R76" s="91">
        <v>50</v>
      </c>
      <c r="S76" s="92">
        <f t="shared" ref="S76" si="56">F76-R76</f>
        <v>0</v>
      </c>
      <c r="T76" s="147">
        <f t="shared" ref="T76" si="57">F76/R76*100</f>
        <v>100</v>
      </c>
      <c r="U76" s="147">
        <f t="shared" si="54"/>
        <v>100</v>
      </c>
      <c r="V76" s="146">
        <v>0</v>
      </c>
      <c r="W76" s="92">
        <f t="shared" si="55"/>
        <v>50</v>
      </c>
      <c r="X76" s="147"/>
    </row>
    <row r="77" spans="1:26" s="32" customFormat="1" ht="56.25" x14ac:dyDescent="0.25">
      <c r="A77" s="130" t="s">
        <v>209</v>
      </c>
      <c r="B77" s="98" t="s">
        <v>227</v>
      </c>
      <c r="C77" s="79"/>
      <c r="D77" s="149">
        <v>0</v>
      </c>
      <c r="E77" s="149">
        <v>0</v>
      </c>
      <c r="F77" s="146">
        <f>SUM(G77:Q77)</f>
        <v>0</v>
      </c>
      <c r="G77" s="146">
        <v>0</v>
      </c>
      <c r="H77" s="146">
        <v>0</v>
      </c>
      <c r="I77" s="146">
        <v>0</v>
      </c>
      <c r="J77" s="146">
        <v>0</v>
      </c>
      <c r="K77" s="146">
        <v>0</v>
      </c>
      <c r="L77" s="146">
        <v>0</v>
      </c>
      <c r="M77" s="146">
        <v>0</v>
      </c>
      <c r="N77" s="146">
        <v>0</v>
      </c>
      <c r="O77" s="146">
        <v>0</v>
      </c>
      <c r="P77" s="146">
        <v>0</v>
      </c>
      <c r="Q77" s="146">
        <v>0</v>
      </c>
      <c r="R77" s="91">
        <v>0</v>
      </c>
      <c r="S77" s="92"/>
      <c r="T77" s="147"/>
      <c r="U77" s="147"/>
      <c r="V77" s="146">
        <v>1000</v>
      </c>
      <c r="W77" s="92">
        <f t="shared" si="55"/>
        <v>-1000</v>
      </c>
      <c r="X77" s="147"/>
    </row>
    <row r="78" spans="1:26" s="8" customFormat="1" ht="23.25" x14ac:dyDescent="0.25">
      <c r="A78" s="163"/>
      <c r="B78" s="98"/>
      <c r="C78" s="128"/>
      <c r="D78" s="148"/>
      <c r="E78" s="148"/>
      <c r="F78" s="142"/>
      <c r="G78" s="142"/>
      <c r="H78" s="142"/>
      <c r="I78" s="142"/>
      <c r="J78" s="142"/>
      <c r="K78" s="142"/>
      <c r="L78" s="142"/>
      <c r="M78" s="142"/>
      <c r="N78" s="142"/>
      <c r="O78" s="142"/>
      <c r="P78" s="142"/>
      <c r="Q78" s="142"/>
      <c r="R78" s="148"/>
      <c r="S78" s="144"/>
      <c r="T78" s="145"/>
      <c r="U78" s="145"/>
      <c r="V78" s="142"/>
      <c r="W78" s="92"/>
      <c r="X78" s="145"/>
    </row>
    <row r="79" spans="1:26" s="41" customFormat="1" ht="39" customHeight="1" x14ac:dyDescent="0.3">
      <c r="A79" s="39"/>
      <c r="B79" s="42" t="s">
        <v>28</v>
      </c>
      <c r="C79" s="165"/>
      <c r="D79" s="134">
        <f>D82+D81</f>
        <v>744122.80200000003</v>
      </c>
      <c r="E79" s="134">
        <f>E82+E81</f>
        <v>791803.19700000004</v>
      </c>
      <c r="F79" s="134">
        <f t="shared" si="20"/>
        <v>718149.37800000003</v>
      </c>
      <c r="G79" s="134">
        <f t="shared" ref="G79:R79" si="58">G82+G81</f>
        <v>46907.102000000006</v>
      </c>
      <c r="H79" s="134">
        <f t="shared" si="58"/>
        <v>54592.909</v>
      </c>
      <c r="I79" s="134">
        <f t="shared" si="58"/>
        <v>57204.304000000004</v>
      </c>
      <c r="J79" s="134">
        <f t="shared" si="58"/>
        <v>57797.366999999998</v>
      </c>
      <c r="K79" s="134">
        <f t="shared" ref="K79:P79" si="59">K82+K81</f>
        <v>79358.313000000009</v>
      </c>
      <c r="L79" s="134">
        <f t="shared" si="59"/>
        <v>145334.226</v>
      </c>
      <c r="M79" s="134">
        <f t="shared" si="59"/>
        <v>28903.632999999998</v>
      </c>
      <c r="N79" s="134">
        <f t="shared" si="59"/>
        <v>40456.436000000002</v>
      </c>
      <c r="O79" s="134">
        <f t="shared" si="59"/>
        <v>77501.403000000006</v>
      </c>
      <c r="P79" s="134">
        <f t="shared" si="59"/>
        <v>62235.742999999995</v>
      </c>
      <c r="Q79" s="134">
        <f t="shared" si="58"/>
        <v>67857.94200000001</v>
      </c>
      <c r="R79" s="134">
        <f t="shared" si="58"/>
        <v>718993.80500000005</v>
      </c>
      <c r="S79" s="68">
        <f>F79-R79</f>
        <v>-844.42700000002515</v>
      </c>
      <c r="T79" s="69">
        <f>F79/R79*100</f>
        <v>99.88255434273178</v>
      </c>
      <c r="U79" s="69">
        <f>F79/E79*100</f>
        <v>90.697963928529063</v>
      </c>
      <c r="V79" s="134">
        <f>V82+V81</f>
        <v>670910.57400000014</v>
      </c>
      <c r="W79" s="68">
        <f>F79-V79</f>
        <v>47238.803999999887</v>
      </c>
      <c r="X79" s="69">
        <f>F79/V79*100</f>
        <v>107.04099858172751</v>
      </c>
    </row>
    <row r="80" spans="1:26" s="11" customFormat="1" ht="23.25" hidden="1" x14ac:dyDescent="0.25">
      <c r="A80" s="10"/>
      <c r="B80" s="124" t="s">
        <v>101</v>
      </c>
      <c r="C80" s="9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  <c r="O80" s="150"/>
      <c r="P80" s="150"/>
      <c r="Q80" s="150"/>
      <c r="R80" s="150"/>
      <c r="S80" s="144"/>
      <c r="T80" s="145"/>
      <c r="U80" s="69"/>
      <c r="V80" s="150"/>
      <c r="W80" s="68"/>
      <c r="X80" s="69"/>
    </row>
    <row r="81" spans="1:29" s="11" customFormat="1" ht="22.5" hidden="1" x14ac:dyDescent="0.25">
      <c r="A81" s="10"/>
      <c r="B81" s="161" t="s">
        <v>117</v>
      </c>
      <c r="C81" s="19"/>
      <c r="D81" s="134">
        <f>D53</f>
        <v>0</v>
      </c>
      <c r="E81" s="134">
        <f>E53</f>
        <v>0</v>
      </c>
      <c r="F81" s="134">
        <f t="shared" si="20"/>
        <v>0</v>
      </c>
      <c r="G81" s="134">
        <f t="shared" ref="G81:R81" si="60">G53</f>
        <v>0</v>
      </c>
      <c r="H81" s="134">
        <f t="shared" si="60"/>
        <v>0</v>
      </c>
      <c r="I81" s="134">
        <f t="shared" si="60"/>
        <v>0</v>
      </c>
      <c r="J81" s="134">
        <f t="shared" si="60"/>
        <v>0</v>
      </c>
      <c r="K81" s="134">
        <f t="shared" si="60"/>
        <v>0</v>
      </c>
      <c r="L81" s="134">
        <f t="shared" si="60"/>
        <v>0</v>
      </c>
      <c r="M81" s="134">
        <f t="shared" si="60"/>
        <v>0</v>
      </c>
      <c r="N81" s="134">
        <f t="shared" si="60"/>
        <v>0</v>
      </c>
      <c r="O81" s="134">
        <f t="shared" ref="O81:P81" si="61">O53</f>
        <v>0</v>
      </c>
      <c r="P81" s="134">
        <f t="shared" si="61"/>
        <v>0</v>
      </c>
      <c r="Q81" s="134">
        <f t="shared" si="60"/>
        <v>0</v>
      </c>
      <c r="R81" s="134">
        <f t="shared" si="60"/>
        <v>0</v>
      </c>
      <c r="S81" s="68">
        <f>F81-R81</f>
        <v>0</v>
      </c>
      <c r="T81" s="69"/>
      <c r="U81" s="69"/>
      <c r="V81" s="134">
        <f>V53</f>
        <v>12210.8</v>
      </c>
      <c r="W81" s="68">
        <f>F81-V81</f>
        <v>-12210.8</v>
      </c>
      <c r="X81" s="69">
        <f>F81/V81*100</f>
        <v>0</v>
      </c>
    </row>
    <row r="82" spans="1:29" s="11" customFormat="1" ht="30" hidden="1" customHeight="1" x14ac:dyDescent="0.25">
      <c r="A82" s="10"/>
      <c r="B82" s="161" t="s">
        <v>72</v>
      </c>
      <c r="C82" s="19"/>
      <c r="D82" s="134">
        <f>D83+D84</f>
        <v>744122.80200000003</v>
      </c>
      <c r="E82" s="134">
        <f>E83+E84</f>
        <v>791803.19700000004</v>
      </c>
      <c r="F82" s="134">
        <f t="shared" si="20"/>
        <v>718149.37800000003</v>
      </c>
      <c r="G82" s="134">
        <f t="shared" ref="G82:R82" si="62">G83+G84</f>
        <v>46907.102000000006</v>
      </c>
      <c r="H82" s="134">
        <f t="shared" si="62"/>
        <v>54592.909</v>
      </c>
      <c r="I82" s="134">
        <f t="shared" si="62"/>
        <v>57204.304000000004</v>
      </c>
      <c r="J82" s="134">
        <f t="shared" si="62"/>
        <v>57797.366999999998</v>
      </c>
      <c r="K82" s="134">
        <f t="shared" ref="K82:P82" si="63">K83+K84</f>
        <v>79358.313000000009</v>
      </c>
      <c r="L82" s="134">
        <f t="shared" si="63"/>
        <v>145334.226</v>
      </c>
      <c r="M82" s="134">
        <f t="shared" si="63"/>
        <v>28903.632999999998</v>
      </c>
      <c r="N82" s="134">
        <f t="shared" si="63"/>
        <v>40456.436000000002</v>
      </c>
      <c r="O82" s="134">
        <f t="shared" si="63"/>
        <v>77501.403000000006</v>
      </c>
      <c r="P82" s="134">
        <f t="shared" si="63"/>
        <v>62235.742999999995</v>
      </c>
      <c r="Q82" s="134">
        <f t="shared" si="62"/>
        <v>67857.94200000001</v>
      </c>
      <c r="R82" s="134">
        <f t="shared" si="62"/>
        <v>718993.80500000005</v>
      </c>
      <c r="S82" s="68">
        <f>F82-R82</f>
        <v>-844.42700000002515</v>
      </c>
      <c r="T82" s="69">
        <f>F82/R82*100</f>
        <v>99.88255434273178</v>
      </c>
      <c r="U82" s="69">
        <f>F82/E82*100</f>
        <v>90.697963928529063</v>
      </c>
      <c r="V82" s="134">
        <f t="shared" ref="V82" si="64">V83+V84</f>
        <v>658699.77400000009</v>
      </c>
      <c r="W82" s="68">
        <f>F82-V82</f>
        <v>59449.603999999934</v>
      </c>
      <c r="X82" s="69">
        <f>F82/V82*100</f>
        <v>109.02529594613159</v>
      </c>
    </row>
    <row r="83" spans="1:29" s="6" customFormat="1" ht="36" hidden="1" customHeight="1" x14ac:dyDescent="0.25">
      <c r="A83" s="12"/>
      <c r="B83" s="15" t="s">
        <v>106</v>
      </c>
      <c r="C83" s="15"/>
      <c r="D83" s="149">
        <f>D50+D51</f>
        <v>717803.4</v>
      </c>
      <c r="E83" s="149">
        <f>E50+E51+E52+E49</f>
        <v>735932.20000000007</v>
      </c>
      <c r="F83" s="149">
        <f t="shared" si="20"/>
        <v>665349.30000000005</v>
      </c>
      <c r="G83" s="149">
        <f t="shared" ref="G83:N83" si="65">G50+G51+G52</f>
        <v>44804.3</v>
      </c>
      <c r="H83" s="149">
        <f t="shared" si="65"/>
        <v>52312.800000000003</v>
      </c>
      <c r="I83" s="149">
        <f t="shared" si="65"/>
        <v>54480.800000000003</v>
      </c>
      <c r="J83" s="149">
        <f t="shared" si="65"/>
        <v>55203.4</v>
      </c>
      <c r="K83" s="149">
        <f t="shared" si="65"/>
        <v>74617.8</v>
      </c>
      <c r="L83" s="149">
        <f t="shared" si="65"/>
        <v>139119.6</v>
      </c>
      <c r="M83" s="149">
        <f t="shared" si="65"/>
        <v>26610.1</v>
      </c>
      <c r="N83" s="149">
        <f t="shared" si="65"/>
        <v>30223.4</v>
      </c>
      <c r="O83" s="149">
        <f>O50+O51+O52+O49</f>
        <v>61529.8</v>
      </c>
      <c r="P83" s="149">
        <f>P50+P51+P52+P49</f>
        <v>60575.199999999997</v>
      </c>
      <c r="Q83" s="149">
        <f>Q50+Q51+Q52+Q49</f>
        <v>65872.100000000006</v>
      </c>
      <c r="R83" s="149">
        <f>R50+R51+R52+R49</f>
        <v>665349.30000000005</v>
      </c>
      <c r="S83" s="92">
        <f>F83-R83</f>
        <v>0</v>
      </c>
      <c r="T83" s="147">
        <f>F83/R83*100</f>
        <v>100</v>
      </c>
      <c r="U83" s="147">
        <f>F83/E83*100</f>
        <v>90.409048550939886</v>
      </c>
      <c r="V83" s="149">
        <f>V50+V51</f>
        <v>589090.30000000005</v>
      </c>
      <c r="W83" s="92">
        <f>F83-V83</f>
        <v>76259</v>
      </c>
      <c r="X83" s="147">
        <f>F83/V83*100</f>
        <v>112.94521400199595</v>
      </c>
    </row>
    <row r="84" spans="1:29" s="6" customFormat="1" ht="36" hidden="1" customHeight="1" x14ac:dyDescent="0.25">
      <c r="A84" s="12"/>
      <c r="B84" s="125" t="s">
        <v>105</v>
      </c>
      <c r="C84" s="15"/>
      <c r="D84" s="149">
        <f>D57+D61+D69+D59+D66</f>
        <v>26319.402000000002</v>
      </c>
      <c r="E84" s="149">
        <f>E57+E61+E69+E59+E66+E60+E54+E55+E56+E58</f>
        <v>55870.997000000003</v>
      </c>
      <c r="F84" s="149">
        <f t="shared" si="20"/>
        <v>52800.077999999994</v>
      </c>
      <c r="G84" s="149">
        <f t="shared" ref="G84:N84" si="66">G57+G61+G69+G59+G66+G60</f>
        <v>2102.8020000000001</v>
      </c>
      <c r="H84" s="149">
        <f t="shared" si="66"/>
        <v>2280.1089999999999</v>
      </c>
      <c r="I84" s="149">
        <f t="shared" si="66"/>
        <v>2723.5039999999999</v>
      </c>
      <c r="J84" s="149">
        <f t="shared" si="66"/>
        <v>2593.9670000000001</v>
      </c>
      <c r="K84" s="149">
        <f t="shared" si="66"/>
        <v>4740.5129999999999</v>
      </c>
      <c r="L84" s="149">
        <f t="shared" si="66"/>
        <v>6214.6260000000002</v>
      </c>
      <c r="M84" s="149">
        <f t="shared" si="66"/>
        <v>2293.5329999999999</v>
      </c>
      <c r="N84" s="149">
        <f t="shared" si="66"/>
        <v>10233.036</v>
      </c>
      <c r="O84" s="149">
        <f>O57+O61+O69+O59+O66+O60+O54+O55+O56</f>
        <v>15971.602999999999</v>
      </c>
      <c r="P84" s="149">
        <f>P57+P61+P69+P59+P66+P60+P54+P55+P56</f>
        <v>1660.5430000000001</v>
      </c>
      <c r="Q84" s="149">
        <f>Q57+Q61+Q69+Q59+Q66+Q60+Q54+Q55+Q56+Q58</f>
        <v>1985.8419999999999</v>
      </c>
      <c r="R84" s="149">
        <f>R57+R61+R69+R59+R66+R60+R54+R55+R56+R58</f>
        <v>53644.505000000005</v>
      </c>
      <c r="S84" s="92">
        <f>F84-R84</f>
        <v>-844.42700000001059</v>
      </c>
      <c r="T84" s="147">
        <f>F84/R84*100</f>
        <v>98.42588350847862</v>
      </c>
      <c r="U84" s="147">
        <f>F84/E84*100</f>
        <v>94.503554321753001</v>
      </c>
      <c r="V84" s="149">
        <f>V57+V61+V69+V59+V66+V64+V60+V54+V55+V56+V65+V67+V68</f>
        <v>69609.474000000017</v>
      </c>
      <c r="W84" s="92">
        <f>F84-V84</f>
        <v>-16809.396000000022</v>
      </c>
      <c r="X84" s="147">
        <f>F84/V84*100</f>
        <v>75.85185602752864</v>
      </c>
    </row>
    <row r="85" spans="1:29" s="6" customFormat="1" ht="23.25" x14ac:dyDescent="0.25">
      <c r="A85" s="12"/>
      <c r="B85" s="34"/>
      <c r="C85" s="15"/>
      <c r="D85" s="149"/>
      <c r="E85" s="149"/>
      <c r="F85" s="149"/>
      <c r="G85" s="149"/>
      <c r="H85" s="149"/>
      <c r="I85" s="149"/>
      <c r="J85" s="149"/>
      <c r="K85" s="149"/>
      <c r="L85" s="149"/>
      <c r="M85" s="149"/>
      <c r="N85" s="149"/>
      <c r="O85" s="149"/>
      <c r="P85" s="149"/>
      <c r="Q85" s="149"/>
      <c r="R85" s="149"/>
      <c r="S85" s="92"/>
      <c r="T85" s="147"/>
      <c r="U85" s="147"/>
      <c r="V85" s="149"/>
      <c r="W85" s="92"/>
      <c r="X85" s="147"/>
    </row>
    <row r="86" spans="1:29" s="108" customFormat="1" ht="23.25" x14ac:dyDescent="0.3">
      <c r="A86" s="101"/>
      <c r="B86" s="102" t="s">
        <v>27</v>
      </c>
      <c r="C86" s="103"/>
      <c r="D86" s="104">
        <f>D79+D48</f>
        <v>4495744.1909999996</v>
      </c>
      <c r="E86" s="104">
        <f>E79+E48</f>
        <v>4543424.5859999992</v>
      </c>
      <c r="F86" s="104">
        <f t="shared" si="20"/>
        <v>4087267.4949999996</v>
      </c>
      <c r="G86" s="104">
        <f t="shared" ref="G86:R86" si="67">G79+G48</f>
        <v>284202.34499999997</v>
      </c>
      <c r="H86" s="104">
        <f t="shared" si="67"/>
        <v>359907.94199999992</v>
      </c>
      <c r="I86" s="104">
        <f t="shared" si="67"/>
        <v>333994.50400000002</v>
      </c>
      <c r="J86" s="104">
        <f t="shared" si="67"/>
        <v>368343.10199999996</v>
      </c>
      <c r="K86" s="104">
        <f t="shared" si="67"/>
        <v>387851.82199999999</v>
      </c>
      <c r="L86" s="104">
        <f t="shared" si="67"/>
        <v>439814.652</v>
      </c>
      <c r="M86" s="104">
        <f t="shared" si="67"/>
        <v>352295.92200000002</v>
      </c>
      <c r="N86" s="104">
        <f t="shared" si="67"/>
        <v>350748.72600000002</v>
      </c>
      <c r="O86" s="104">
        <f t="shared" ref="O86:P86" si="68">O79+O48</f>
        <v>347817.62999999995</v>
      </c>
      <c r="P86" s="104">
        <f t="shared" si="68"/>
        <v>437932.67900000018</v>
      </c>
      <c r="Q86" s="104">
        <f t="shared" si="67"/>
        <v>424358.17100000009</v>
      </c>
      <c r="R86" s="104">
        <f t="shared" si="67"/>
        <v>4018554.1300000004</v>
      </c>
      <c r="S86" s="105">
        <f>F86-R86</f>
        <v>68713.364999999292</v>
      </c>
      <c r="T86" s="106">
        <f>F86/R86*100</f>
        <v>101.70990268581997</v>
      </c>
      <c r="U86" s="106">
        <f>F86/E86*100</f>
        <v>89.960060250464124</v>
      </c>
      <c r="V86" s="104">
        <f>V79+V48</f>
        <v>3538354.4329999997</v>
      </c>
      <c r="W86" s="105">
        <f>F86-V86</f>
        <v>548913.06199999992</v>
      </c>
      <c r="X86" s="106">
        <f>F86/V86*100</f>
        <v>115.51323001677373</v>
      </c>
      <c r="Y86" s="104">
        <v>3538354.4330000002</v>
      </c>
      <c r="Z86" s="107">
        <f>Y86-V86</f>
        <v>0</v>
      </c>
      <c r="AC86" s="107"/>
    </row>
    <row r="87" spans="1:29" s="8" customFormat="1" ht="20.25" x14ac:dyDescent="0.25">
      <c r="A87" s="187" t="s">
        <v>9</v>
      </c>
      <c r="B87" s="187"/>
      <c r="C87" s="187"/>
      <c r="D87" s="187"/>
      <c r="E87" s="187"/>
      <c r="F87" s="187"/>
      <c r="G87" s="187"/>
      <c r="H87" s="187"/>
      <c r="I87" s="187"/>
      <c r="J87" s="187"/>
      <c r="K87" s="187"/>
      <c r="L87" s="187"/>
      <c r="M87" s="187"/>
      <c r="N87" s="187"/>
      <c r="O87" s="187"/>
      <c r="P87" s="187"/>
      <c r="Q87" s="187"/>
      <c r="R87" s="187"/>
      <c r="S87" s="187"/>
      <c r="T87" s="187"/>
      <c r="U87" s="187"/>
      <c r="V87" s="187"/>
      <c r="W87" s="187"/>
      <c r="X87" s="187"/>
    </row>
    <row r="88" spans="1:29" s="43" customFormat="1" ht="38.25" customHeight="1" x14ac:dyDescent="0.3">
      <c r="A88" s="163">
        <v>1</v>
      </c>
      <c r="B88" s="135" t="s">
        <v>12</v>
      </c>
      <c r="C88" s="128" t="s">
        <v>21</v>
      </c>
      <c r="D88" s="148">
        <f>D89+D90</f>
        <v>70446.198000000004</v>
      </c>
      <c r="E88" s="148">
        <f t="shared" ref="E88" si="69">D88</f>
        <v>70446.198000000004</v>
      </c>
      <c r="F88" s="142">
        <f t="shared" ref="F88:F115" si="70">SUM(G88:Q88)</f>
        <v>88105.477000000014</v>
      </c>
      <c r="G88" s="142">
        <f t="shared" ref="G88:R88" si="71">G89+G90</f>
        <v>3860.3049999999998</v>
      </c>
      <c r="H88" s="142">
        <f t="shared" ref="H88:P88" si="72">H89+H90</f>
        <v>8760.2960000000003</v>
      </c>
      <c r="I88" s="142">
        <f t="shared" si="72"/>
        <v>5848.7789999999995</v>
      </c>
      <c r="J88" s="142">
        <f t="shared" si="72"/>
        <v>5691.4560000000001</v>
      </c>
      <c r="K88" s="142">
        <f t="shared" si="72"/>
        <v>5209.8320000000003</v>
      </c>
      <c r="L88" s="142">
        <f t="shared" si="72"/>
        <v>4482.402</v>
      </c>
      <c r="M88" s="142">
        <f t="shared" si="72"/>
        <v>2835.93</v>
      </c>
      <c r="N88" s="142">
        <f t="shared" si="72"/>
        <v>5127.2709999999997</v>
      </c>
      <c r="O88" s="142">
        <f t="shared" si="72"/>
        <v>29524.797000000002</v>
      </c>
      <c r="P88" s="142">
        <f t="shared" si="72"/>
        <v>7839.7359999999999</v>
      </c>
      <c r="Q88" s="142">
        <f t="shared" si="71"/>
        <v>8924.6730000000007</v>
      </c>
      <c r="R88" s="143">
        <f t="shared" si="71"/>
        <v>64575.682000000001</v>
      </c>
      <c r="S88" s="144">
        <f t="shared" ref="S88:S102" si="73">F88-R88</f>
        <v>23529.795000000013</v>
      </c>
      <c r="T88" s="145">
        <f>F88/R88*100</f>
        <v>136.43754780630891</v>
      </c>
      <c r="U88" s="145">
        <f>F88/E88*100</f>
        <v>125.06775312416435</v>
      </c>
      <c r="V88" s="142">
        <f t="shared" ref="V88" si="74">V89+V90</f>
        <v>72500.231</v>
      </c>
      <c r="W88" s="144">
        <f t="shared" ref="W88:W102" si="75">F88-V88</f>
        <v>15605.246000000014</v>
      </c>
      <c r="X88" s="145">
        <f t="shared" ref="X88:X99" si="76">F88/V88*100</f>
        <v>121.52440866016001</v>
      </c>
    </row>
    <row r="89" spans="1:29" s="46" customFormat="1" ht="39" x14ac:dyDescent="0.3">
      <c r="A89" s="130" t="s">
        <v>122</v>
      </c>
      <c r="B89" s="78" t="s">
        <v>118</v>
      </c>
      <c r="C89" s="15" t="s">
        <v>119</v>
      </c>
      <c r="D89" s="149">
        <v>70446.198000000004</v>
      </c>
      <c r="E89" s="149">
        <v>70446.198000000004</v>
      </c>
      <c r="F89" s="146">
        <f t="shared" si="70"/>
        <v>54228.593000000008</v>
      </c>
      <c r="G89" s="146">
        <v>3552.8009999999999</v>
      </c>
      <c r="H89" s="146">
        <v>6339.2150000000001</v>
      </c>
      <c r="I89" s="146">
        <v>5401.0349999999999</v>
      </c>
      <c r="J89" s="146">
        <v>4981.4170000000004</v>
      </c>
      <c r="K89" s="146">
        <v>4721.1689999999999</v>
      </c>
      <c r="L89" s="146">
        <v>2852.4169999999999</v>
      </c>
      <c r="M89" s="146">
        <v>2398.2049999999999</v>
      </c>
      <c r="N89" s="146">
        <v>3722.864</v>
      </c>
      <c r="O89" s="146">
        <v>6525.86</v>
      </c>
      <c r="P89" s="146">
        <v>6165.34</v>
      </c>
      <c r="Q89" s="146">
        <v>7568.27</v>
      </c>
      <c r="R89" s="91">
        <v>64575.682000000001</v>
      </c>
      <c r="S89" s="92">
        <f t="shared" si="73"/>
        <v>-10347.088999999993</v>
      </c>
      <c r="T89" s="147">
        <f>F89/R89*100</f>
        <v>83.976802598848295</v>
      </c>
      <c r="U89" s="147">
        <f>F89/E89*100</f>
        <v>76.97873631164596</v>
      </c>
      <c r="V89" s="146">
        <v>51743.037000000004</v>
      </c>
      <c r="W89" s="92">
        <f t="shared" si="75"/>
        <v>2485.5560000000041</v>
      </c>
      <c r="X89" s="147">
        <f t="shared" si="76"/>
        <v>104.80365309829031</v>
      </c>
    </row>
    <row r="90" spans="1:29" s="46" customFormat="1" ht="23.25" x14ac:dyDescent="0.3">
      <c r="A90" s="130" t="s">
        <v>123</v>
      </c>
      <c r="B90" s="78" t="s">
        <v>120</v>
      </c>
      <c r="C90" s="15" t="s">
        <v>121</v>
      </c>
      <c r="D90" s="149">
        <v>0</v>
      </c>
      <c r="E90" s="149">
        <v>0</v>
      </c>
      <c r="F90" s="146">
        <f t="shared" si="70"/>
        <v>33876.884000000005</v>
      </c>
      <c r="G90" s="146">
        <v>307.50400000000002</v>
      </c>
      <c r="H90" s="146">
        <v>2421.0810000000001</v>
      </c>
      <c r="I90" s="146">
        <v>447.74400000000003</v>
      </c>
      <c r="J90" s="146">
        <v>710.03899999999999</v>
      </c>
      <c r="K90" s="146">
        <v>488.66300000000001</v>
      </c>
      <c r="L90" s="146">
        <v>1629.9849999999999</v>
      </c>
      <c r="M90" s="146">
        <v>437.72500000000002</v>
      </c>
      <c r="N90" s="146">
        <v>1404.4069999999999</v>
      </c>
      <c r="O90" s="146">
        <v>22998.937000000002</v>
      </c>
      <c r="P90" s="146">
        <v>1674.396</v>
      </c>
      <c r="Q90" s="146">
        <v>1356.403</v>
      </c>
      <c r="R90" s="91">
        <v>0</v>
      </c>
      <c r="S90" s="92">
        <f t="shared" si="73"/>
        <v>33876.884000000005</v>
      </c>
      <c r="T90" s="147"/>
      <c r="U90" s="147"/>
      <c r="V90" s="146">
        <v>20757.194</v>
      </c>
      <c r="W90" s="92">
        <f t="shared" si="75"/>
        <v>13119.690000000006</v>
      </c>
      <c r="X90" s="147">
        <f t="shared" si="76"/>
        <v>163.20550841313138</v>
      </c>
    </row>
    <row r="91" spans="1:29" s="43" customFormat="1" ht="44.25" customHeight="1" x14ac:dyDescent="0.3">
      <c r="A91" s="163">
        <v>2</v>
      </c>
      <c r="B91" s="90" t="s">
        <v>31</v>
      </c>
      <c r="C91" s="128" t="s">
        <v>30</v>
      </c>
      <c r="D91" s="148">
        <v>2267.6</v>
      </c>
      <c r="E91" s="148">
        <v>2267.6</v>
      </c>
      <c r="F91" s="142">
        <f t="shared" si="70"/>
        <v>1835.4380000000001</v>
      </c>
      <c r="G91" s="142">
        <v>68.402000000000001</v>
      </c>
      <c r="H91" s="142">
        <v>214.45699999999999</v>
      </c>
      <c r="I91" s="142">
        <v>85.447999999999993</v>
      </c>
      <c r="J91" s="142">
        <v>196.76599999999999</v>
      </c>
      <c r="K91" s="142">
        <v>289.00900000000001</v>
      </c>
      <c r="L91" s="142">
        <v>97.941000000000003</v>
      </c>
      <c r="M91" s="142">
        <v>108.371</v>
      </c>
      <c r="N91" s="142">
        <v>285.29300000000001</v>
      </c>
      <c r="O91" s="142">
        <v>86.402000000000001</v>
      </c>
      <c r="P91" s="142">
        <v>107.072</v>
      </c>
      <c r="Q91" s="142">
        <v>296.27699999999999</v>
      </c>
      <c r="R91" s="143">
        <v>1822.94</v>
      </c>
      <c r="S91" s="144">
        <f t="shared" si="73"/>
        <v>12.498000000000047</v>
      </c>
      <c r="T91" s="145">
        <f t="shared" ref="T91:T99" si="77">F91/R91*100</f>
        <v>100.68559579580239</v>
      </c>
      <c r="U91" s="145">
        <f t="shared" ref="U91:U99" si="78">F91/E91*100</f>
        <v>80.941876874228271</v>
      </c>
      <c r="V91" s="142">
        <v>825.4670000000001</v>
      </c>
      <c r="W91" s="144">
        <f t="shared" si="75"/>
        <v>1009.971</v>
      </c>
      <c r="X91" s="145">
        <f t="shared" si="76"/>
        <v>222.35146892607455</v>
      </c>
    </row>
    <row r="92" spans="1:29" s="43" customFormat="1" ht="39" x14ac:dyDescent="0.3">
      <c r="A92" s="163">
        <f t="shared" ref="A92:A95" si="79">A91+1</f>
        <v>3</v>
      </c>
      <c r="B92" s="90" t="s">
        <v>85</v>
      </c>
      <c r="C92" s="128">
        <v>21110000</v>
      </c>
      <c r="D92" s="148">
        <v>160</v>
      </c>
      <c r="E92" s="148">
        <v>160</v>
      </c>
      <c r="F92" s="142">
        <f t="shared" si="70"/>
        <v>188.80699999999999</v>
      </c>
      <c r="G92" s="142">
        <v>0</v>
      </c>
      <c r="H92" s="142">
        <v>0</v>
      </c>
      <c r="I92" s="142">
        <v>13.731999999999999</v>
      </c>
      <c r="J92" s="142">
        <v>0</v>
      </c>
      <c r="K92" s="142">
        <v>0</v>
      </c>
      <c r="L92" s="142">
        <v>26.204999999999998</v>
      </c>
      <c r="M92" s="142">
        <v>39.994999999999997</v>
      </c>
      <c r="N92" s="142">
        <v>0</v>
      </c>
      <c r="O92" s="142">
        <v>0</v>
      </c>
      <c r="P92" s="142">
        <v>0</v>
      </c>
      <c r="Q92" s="142">
        <v>108.875</v>
      </c>
      <c r="R92" s="143">
        <v>79.5</v>
      </c>
      <c r="S92" s="144">
        <f t="shared" si="73"/>
        <v>109.30699999999999</v>
      </c>
      <c r="T92" s="145">
        <f t="shared" si="77"/>
        <v>237.49308176100627</v>
      </c>
      <c r="U92" s="145">
        <f t="shared" si="78"/>
        <v>118.00437499999998</v>
      </c>
      <c r="V92" s="142">
        <v>63.779000000000003</v>
      </c>
      <c r="W92" s="144">
        <f t="shared" si="75"/>
        <v>125.02799999999999</v>
      </c>
      <c r="X92" s="145">
        <f t="shared" si="76"/>
        <v>296.03317706455101</v>
      </c>
    </row>
    <row r="93" spans="1:29" s="43" customFormat="1" ht="58.5" x14ac:dyDescent="0.3">
      <c r="A93" s="163">
        <f t="shared" si="79"/>
        <v>4</v>
      </c>
      <c r="B93" s="135" t="s">
        <v>26</v>
      </c>
      <c r="C93" s="128" t="s">
        <v>25</v>
      </c>
      <c r="D93" s="148">
        <v>15.7</v>
      </c>
      <c r="E93" s="148">
        <v>140.69999999999999</v>
      </c>
      <c r="F93" s="142">
        <f t="shared" si="70"/>
        <v>208.70199999999997</v>
      </c>
      <c r="G93" s="142">
        <v>36.722000000000001</v>
      </c>
      <c r="H93" s="142">
        <v>1.931</v>
      </c>
      <c r="I93" s="142">
        <v>93.322999999999993</v>
      </c>
      <c r="J93" s="142">
        <v>2.0529999999999999</v>
      </c>
      <c r="K93" s="142">
        <v>7.9269999999999996</v>
      </c>
      <c r="L93" s="142">
        <v>5.2</v>
      </c>
      <c r="M93" s="142">
        <v>0.2</v>
      </c>
      <c r="N93" s="142">
        <v>0.81299999999999994</v>
      </c>
      <c r="O93" s="142">
        <v>14.423</v>
      </c>
      <c r="P93" s="142">
        <v>43.954000000000001</v>
      </c>
      <c r="Q93" s="142">
        <v>2.1560000000000001</v>
      </c>
      <c r="R93" s="143">
        <v>152.69999999999999</v>
      </c>
      <c r="S93" s="144">
        <f t="shared" si="73"/>
        <v>56.001999999999981</v>
      </c>
      <c r="T93" s="145">
        <f t="shared" si="77"/>
        <v>136.67452521283562</v>
      </c>
      <c r="U93" s="145">
        <f t="shared" si="78"/>
        <v>148.33120113717129</v>
      </c>
      <c r="V93" s="142">
        <v>17.135999999999999</v>
      </c>
      <c r="W93" s="144">
        <f t="shared" si="75"/>
        <v>191.56599999999997</v>
      </c>
      <c r="X93" s="145">
        <f t="shared" si="76"/>
        <v>1217.9154995331464</v>
      </c>
    </row>
    <row r="94" spans="1:29" s="43" customFormat="1" ht="58.5" x14ac:dyDescent="0.3">
      <c r="A94" s="163">
        <f t="shared" si="79"/>
        <v>5</v>
      </c>
      <c r="B94" s="135" t="s">
        <v>66</v>
      </c>
      <c r="C94" s="128" t="s">
        <v>67</v>
      </c>
      <c r="D94" s="148">
        <v>0.4</v>
      </c>
      <c r="E94" s="148">
        <v>0.4</v>
      </c>
      <c r="F94" s="142">
        <f t="shared" si="70"/>
        <v>0.17400000000000004</v>
      </c>
      <c r="G94" s="142">
        <v>3.5000000000000003E-2</v>
      </c>
      <c r="H94" s="142">
        <v>2.4E-2</v>
      </c>
      <c r="I94" s="142">
        <v>1.7000000000000001E-2</v>
      </c>
      <c r="J94" s="142">
        <v>1.4E-2</v>
      </c>
      <c r="K94" s="142">
        <v>2.7E-2</v>
      </c>
      <c r="L94" s="142">
        <v>1.7999999999999999E-2</v>
      </c>
      <c r="M94" s="142">
        <v>1.4E-2</v>
      </c>
      <c r="N94" s="142">
        <v>8.9999999999999993E-3</v>
      </c>
      <c r="O94" s="142">
        <v>1.6E-2</v>
      </c>
      <c r="P94" s="142">
        <v>0</v>
      </c>
      <c r="Q94" s="142">
        <v>0</v>
      </c>
      <c r="R94" s="143">
        <v>0.17399999999999999</v>
      </c>
      <c r="S94" s="144">
        <f t="shared" si="73"/>
        <v>0</v>
      </c>
      <c r="T94" s="145">
        <f t="shared" si="77"/>
        <v>100.00000000000003</v>
      </c>
      <c r="U94" s="145">
        <f t="shared" si="78"/>
        <v>43.500000000000014</v>
      </c>
      <c r="V94" s="142">
        <v>0.38400000000000001</v>
      </c>
      <c r="W94" s="144">
        <f t="shared" si="75"/>
        <v>-0.20999999999999996</v>
      </c>
      <c r="X94" s="145">
        <f t="shared" si="76"/>
        <v>45.312500000000014</v>
      </c>
    </row>
    <row r="95" spans="1:29" s="24" customFormat="1" ht="33.75" customHeight="1" x14ac:dyDescent="0.3">
      <c r="A95" s="10">
        <f t="shared" si="79"/>
        <v>6</v>
      </c>
      <c r="B95" s="14" t="s">
        <v>10</v>
      </c>
      <c r="C95" s="7"/>
      <c r="D95" s="134">
        <f>SUM(D96:D99)</f>
        <v>90003.199999999997</v>
      </c>
      <c r="E95" s="134">
        <f>SUM(E96:E99)</f>
        <v>98303.2</v>
      </c>
      <c r="F95" s="134">
        <f>SUM(G95:Q95)</f>
        <v>80629.598999999987</v>
      </c>
      <c r="G95" s="134">
        <f t="shared" ref="G95:R95" si="80">SUM(G96:G99)</f>
        <v>8655.4589999999989</v>
      </c>
      <c r="H95" s="134">
        <f t="shared" si="80"/>
        <v>1630.1189999999999</v>
      </c>
      <c r="I95" s="134">
        <f t="shared" si="80"/>
        <v>10702.722</v>
      </c>
      <c r="J95" s="134">
        <f t="shared" si="80"/>
        <v>5034.759</v>
      </c>
      <c r="K95" s="134">
        <f t="shared" ref="K95:P95" si="81">SUM(K96:K99)</f>
        <v>5015.4139999999998</v>
      </c>
      <c r="L95" s="134">
        <f t="shared" si="81"/>
        <v>13135.803</v>
      </c>
      <c r="M95" s="134">
        <f t="shared" si="81"/>
        <v>3736.8130000000001</v>
      </c>
      <c r="N95" s="134">
        <f t="shared" si="81"/>
        <v>11192.501</v>
      </c>
      <c r="O95" s="134">
        <f t="shared" si="81"/>
        <v>6998.9230000000007</v>
      </c>
      <c r="P95" s="134">
        <f t="shared" si="81"/>
        <v>3311.875</v>
      </c>
      <c r="Q95" s="134">
        <f t="shared" si="80"/>
        <v>11215.210999999999</v>
      </c>
      <c r="R95" s="134">
        <f t="shared" si="80"/>
        <v>75921.891999999993</v>
      </c>
      <c r="S95" s="134">
        <f t="shared" si="73"/>
        <v>4707.7069999999949</v>
      </c>
      <c r="T95" s="69">
        <f t="shared" si="77"/>
        <v>106.2007240283211</v>
      </c>
      <c r="U95" s="69">
        <f t="shared" si="78"/>
        <v>82.021337047013716</v>
      </c>
      <c r="V95" s="134">
        <f>SUM(V96:V100)</f>
        <v>84935.638000000006</v>
      </c>
      <c r="W95" s="68">
        <f t="shared" si="75"/>
        <v>-4306.0390000000189</v>
      </c>
      <c r="X95" s="69">
        <f t="shared" si="76"/>
        <v>94.930232937085819</v>
      </c>
      <c r="Y95" s="44"/>
    </row>
    <row r="96" spans="1:29" s="46" customFormat="1" ht="48.75" customHeight="1" x14ac:dyDescent="0.3">
      <c r="A96" s="12" t="s">
        <v>131</v>
      </c>
      <c r="B96" s="78" t="s">
        <v>141</v>
      </c>
      <c r="C96" s="15" t="s">
        <v>64</v>
      </c>
      <c r="D96" s="149">
        <v>3.2</v>
      </c>
      <c r="E96" s="149">
        <v>3.2</v>
      </c>
      <c r="F96" s="146">
        <f t="shared" si="70"/>
        <v>3.2</v>
      </c>
      <c r="G96" s="146">
        <v>0</v>
      </c>
      <c r="H96" s="146">
        <v>0</v>
      </c>
      <c r="I96" s="146">
        <v>0</v>
      </c>
      <c r="J96" s="146">
        <v>0</v>
      </c>
      <c r="K96" s="146">
        <v>0</v>
      </c>
      <c r="L96" s="146">
        <v>2.2000000000000002</v>
      </c>
      <c r="M96" s="146">
        <v>0</v>
      </c>
      <c r="N96" s="146">
        <v>0</v>
      </c>
      <c r="O96" s="146">
        <v>0</v>
      </c>
      <c r="P96" s="146">
        <v>0</v>
      </c>
      <c r="Q96" s="146">
        <v>1</v>
      </c>
      <c r="R96" s="91">
        <v>3.2</v>
      </c>
      <c r="S96" s="92">
        <f t="shared" si="73"/>
        <v>0</v>
      </c>
      <c r="T96" s="147">
        <f t="shared" si="77"/>
        <v>100</v>
      </c>
      <c r="U96" s="147">
        <f t="shared" si="78"/>
        <v>100</v>
      </c>
      <c r="V96" s="146">
        <v>3.2</v>
      </c>
      <c r="W96" s="92">
        <f t="shared" si="75"/>
        <v>0</v>
      </c>
      <c r="X96" s="147">
        <f t="shared" si="76"/>
        <v>100</v>
      </c>
    </row>
    <row r="97" spans="1:24" s="46" customFormat="1" ht="46.5" customHeight="1" x14ac:dyDescent="0.3">
      <c r="A97" s="12" t="s">
        <v>132</v>
      </c>
      <c r="B97" s="78" t="s">
        <v>233</v>
      </c>
      <c r="C97" s="15" t="s">
        <v>44</v>
      </c>
      <c r="D97" s="149">
        <v>0</v>
      </c>
      <c r="E97" s="149">
        <v>12100</v>
      </c>
      <c r="F97" s="146">
        <f t="shared" si="70"/>
        <v>14192.755999999999</v>
      </c>
      <c r="G97" s="146">
        <v>6037.933</v>
      </c>
      <c r="H97" s="146">
        <v>25.300999999999998</v>
      </c>
      <c r="I97" s="146">
        <v>2133.0540000000001</v>
      </c>
      <c r="J97" s="146">
        <v>152.38399999999999</v>
      </c>
      <c r="K97" s="146">
        <v>501.82100000000003</v>
      </c>
      <c r="L97" s="146">
        <v>1883.74</v>
      </c>
      <c r="M97" s="146">
        <v>1009.088</v>
      </c>
      <c r="N97" s="146">
        <v>281.81700000000001</v>
      </c>
      <c r="O97" s="146">
        <v>1550.6010000000001</v>
      </c>
      <c r="P97" s="146">
        <v>308.80099999999999</v>
      </c>
      <c r="Q97" s="146">
        <v>308.21600000000001</v>
      </c>
      <c r="R97" s="91">
        <v>12100</v>
      </c>
      <c r="S97" s="92">
        <f t="shared" si="73"/>
        <v>2092.7559999999994</v>
      </c>
      <c r="T97" s="147">
        <f t="shared" si="77"/>
        <v>117.2955041322314</v>
      </c>
      <c r="U97" s="147">
        <f t="shared" si="78"/>
        <v>117.2955041322314</v>
      </c>
      <c r="V97" s="146">
        <v>22186.095000000001</v>
      </c>
      <c r="W97" s="92">
        <f t="shared" si="75"/>
        <v>-7993.3390000000018</v>
      </c>
      <c r="X97" s="147">
        <f t="shared" si="76"/>
        <v>63.971401907365845</v>
      </c>
    </row>
    <row r="98" spans="1:24" s="46" customFormat="1" ht="39" x14ac:dyDescent="0.3">
      <c r="A98" s="12" t="s">
        <v>133</v>
      </c>
      <c r="B98" s="78" t="s">
        <v>36</v>
      </c>
      <c r="C98" s="15" t="s">
        <v>22</v>
      </c>
      <c r="D98" s="149">
        <v>20000</v>
      </c>
      <c r="E98" s="149">
        <v>20000</v>
      </c>
      <c r="F98" s="146">
        <f t="shared" si="70"/>
        <v>17234.280999999999</v>
      </c>
      <c r="G98" s="146">
        <v>0</v>
      </c>
      <c r="H98" s="146">
        <v>0</v>
      </c>
      <c r="I98" s="146">
        <v>2908.8789999999999</v>
      </c>
      <c r="J98" s="146">
        <v>1291.645</v>
      </c>
      <c r="K98" s="146">
        <v>0</v>
      </c>
      <c r="L98" s="146">
        <v>7448.0630000000001</v>
      </c>
      <c r="M98" s="146">
        <v>535.94399999999996</v>
      </c>
      <c r="N98" s="146">
        <v>0</v>
      </c>
      <c r="O98" s="146">
        <v>1453.518</v>
      </c>
      <c r="P98" s="146">
        <v>0</v>
      </c>
      <c r="Q98" s="146">
        <v>3596.232</v>
      </c>
      <c r="R98" s="91">
        <v>15781.279</v>
      </c>
      <c r="S98" s="92">
        <f t="shared" si="73"/>
        <v>1453.0019999999986</v>
      </c>
      <c r="T98" s="147">
        <f t="shared" si="77"/>
        <v>109.2071244669079</v>
      </c>
      <c r="U98" s="147">
        <f t="shared" si="78"/>
        <v>86.171404999999993</v>
      </c>
      <c r="V98" s="146">
        <v>11213.715</v>
      </c>
      <c r="W98" s="92">
        <f t="shared" si="75"/>
        <v>6020.5659999999989</v>
      </c>
      <c r="X98" s="147">
        <f t="shared" si="76"/>
        <v>153.68930813740138</v>
      </c>
    </row>
    <row r="99" spans="1:24" s="45" customFormat="1" ht="32.25" customHeight="1" x14ac:dyDescent="0.3">
      <c r="A99" s="12" t="s">
        <v>134</v>
      </c>
      <c r="B99" s="34" t="s">
        <v>68</v>
      </c>
      <c r="C99" s="15" t="s">
        <v>42</v>
      </c>
      <c r="D99" s="149">
        <v>70000</v>
      </c>
      <c r="E99" s="149">
        <v>66200</v>
      </c>
      <c r="F99" s="149">
        <f t="shared" si="70"/>
        <v>49199.361999999994</v>
      </c>
      <c r="G99" s="149">
        <v>2617.5259999999998</v>
      </c>
      <c r="H99" s="149">
        <v>1604.818</v>
      </c>
      <c r="I99" s="149">
        <v>5660.7889999999998</v>
      </c>
      <c r="J99" s="149">
        <v>3590.73</v>
      </c>
      <c r="K99" s="149">
        <v>4513.5929999999998</v>
      </c>
      <c r="L99" s="149">
        <v>3801.8</v>
      </c>
      <c r="M99" s="149">
        <v>2191.7809999999999</v>
      </c>
      <c r="N99" s="149">
        <v>10910.683999999999</v>
      </c>
      <c r="O99" s="149">
        <v>3994.8040000000001</v>
      </c>
      <c r="P99" s="149">
        <v>3003.0740000000001</v>
      </c>
      <c r="Q99" s="149">
        <v>7309.7629999999999</v>
      </c>
      <c r="R99" s="149">
        <v>48037.413</v>
      </c>
      <c r="S99" s="92">
        <f t="shared" si="73"/>
        <v>1161.9489999999932</v>
      </c>
      <c r="T99" s="147">
        <f t="shared" si="77"/>
        <v>102.41884174736886</v>
      </c>
      <c r="U99" s="147">
        <f t="shared" si="78"/>
        <v>74.319277945619319</v>
      </c>
      <c r="V99" s="149">
        <v>51332.628000000004</v>
      </c>
      <c r="W99" s="92">
        <f t="shared" si="75"/>
        <v>-2133.2660000000105</v>
      </c>
      <c r="X99" s="147">
        <f t="shared" si="76"/>
        <v>95.844229911626556</v>
      </c>
    </row>
    <row r="100" spans="1:24" s="45" customFormat="1" ht="58.5" x14ac:dyDescent="0.3">
      <c r="A100" s="12" t="s">
        <v>171</v>
      </c>
      <c r="B100" s="34" t="s">
        <v>231</v>
      </c>
      <c r="C100" s="159" t="s">
        <v>116</v>
      </c>
      <c r="D100" s="149">
        <v>0</v>
      </c>
      <c r="E100" s="149">
        <v>0</v>
      </c>
      <c r="F100" s="149">
        <f t="shared" si="70"/>
        <v>0</v>
      </c>
      <c r="G100" s="149">
        <v>0</v>
      </c>
      <c r="H100" s="149">
        <v>0</v>
      </c>
      <c r="I100" s="149">
        <v>0</v>
      </c>
      <c r="J100" s="149">
        <v>0</v>
      </c>
      <c r="K100" s="149">
        <v>0</v>
      </c>
      <c r="L100" s="149">
        <v>0</v>
      </c>
      <c r="M100" s="149">
        <v>0</v>
      </c>
      <c r="N100" s="149">
        <v>0</v>
      </c>
      <c r="O100" s="149">
        <v>0</v>
      </c>
      <c r="P100" s="149">
        <v>0</v>
      </c>
      <c r="Q100" s="149">
        <v>0</v>
      </c>
      <c r="R100" s="149">
        <v>0</v>
      </c>
      <c r="S100" s="92">
        <f t="shared" si="73"/>
        <v>0</v>
      </c>
      <c r="T100" s="147"/>
      <c r="U100" s="147"/>
      <c r="V100" s="149">
        <v>200</v>
      </c>
      <c r="W100" s="92">
        <f t="shared" si="75"/>
        <v>-200</v>
      </c>
      <c r="X100" s="147"/>
    </row>
    <row r="101" spans="1:24" s="43" customFormat="1" ht="45" customHeight="1" x14ac:dyDescent="0.3">
      <c r="A101" s="163">
        <v>7</v>
      </c>
      <c r="B101" s="90" t="s">
        <v>11</v>
      </c>
      <c r="C101" s="128" t="s">
        <v>23</v>
      </c>
      <c r="D101" s="148">
        <v>6000</v>
      </c>
      <c r="E101" s="148">
        <v>7000</v>
      </c>
      <c r="F101" s="142">
        <f t="shared" si="70"/>
        <v>8195.7260000000006</v>
      </c>
      <c r="G101" s="142">
        <v>431.85300000000001</v>
      </c>
      <c r="H101" s="142">
        <v>403.06599999999997</v>
      </c>
      <c r="I101" s="142">
        <v>337.41399999999999</v>
      </c>
      <c r="J101" s="142">
        <v>348.38400000000001</v>
      </c>
      <c r="K101" s="142">
        <v>273.77199999999999</v>
      </c>
      <c r="L101" s="142">
        <v>1847.547</v>
      </c>
      <c r="M101" s="142">
        <v>967.10500000000002</v>
      </c>
      <c r="N101" s="142">
        <v>1121.1310000000001</v>
      </c>
      <c r="O101" s="142">
        <v>710.73900000000003</v>
      </c>
      <c r="P101" s="142">
        <v>362.01499999999999</v>
      </c>
      <c r="Q101" s="142">
        <v>1392.7</v>
      </c>
      <c r="R101" s="143">
        <v>7000</v>
      </c>
      <c r="S101" s="144">
        <f t="shared" si="73"/>
        <v>1195.7260000000006</v>
      </c>
      <c r="T101" s="145">
        <f>F101/R101*100</f>
        <v>117.08180000000002</v>
      </c>
      <c r="U101" s="145">
        <f>F101/E101*100</f>
        <v>117.08180000000002</v>
      </c>
      <c r="V101" s="142">
        <v>6779.9760000000006</v>
      </c>
      <c r="W101" s="144">
        <f t="shared" si="75"/>
        <v>1415.75</v>
      </c>
      <c r="X101" s="145">
        <f>F101/V101*100</f>
        <v>120.88134235283428</v>
      </c>
    </row>
    <row r="102" spans="1:24" s="38" customFormat="1" ht="33.75" customHeight="1" x14ac:dyDescent="0.3">
      <c r="A102" s="36"/>
      <c r="B102" s="63" t="s">
        <v>154</v>
      </c>
      <c r="C102" s="37"/>
      <c r="D102" s="133">
        <f>D88+D91+D93+D94+D96+D97+D98+D99+D101+D92</f>
        <v>168893.098</v>
      </c>
      <c r="E102" s="133">
        <f>E88+E91+E93+E94+E96+E97+E98+E99+E101+E92</f>
        <v>178318.098</v>
      </c>
      <c r="F102" s="133">
        <f t="shared" si="70"/>
        <v>179163.92300000001</v>
      </c>
      <c r="G102" s="133">
        <f t="shared" ref="G102:Q102" si="82">G88+G91+G93+G94+G96+G97+G98+G99+G101+G92</f>
        <v>13052.776</v>
      </c>
      <c r="H102" s="133">
        <f t="shared" si="82"/>
        <v>11009.893</v>
      </c>
      <c r="I102" s="133">
        <f t="shared" si="82"/>
        <v>17081.435000000001</v>
      </c>
      <c r="J102" s="133">
        <f t="shared" si="82"/>
        <v>11273.431999999999</v>
      </c>
      <c r="K102" s="133">
        <f t="shared" ref="K102:P102" si="83">K88+K91+K93+K94+K96+K97+K98+K99+K101+K92</f>
        <v>10795.981</v>
      </c>
      <c r="L102" s="133">
        <f t="shared" si="83"/>
        <v>19595.115999999998</v>
      </c>
      <c r="M102" s="133">
        <f t="shared" si="83"/>
        <v>7688.4280000000008</v>
      </c>
      <c r="N102" s="133">
        <f t="shared" si="83"/>
        <v>17727.018</v>
      </c>
      <c r="O102" s="133">
        <f t="shared" si="83"/>
        <v>37335.300000000003</v>
      </c>
      <c r="P102" s="133">
        <f t="shared" si="83"/>
        <v>11664.652</v>
      </c>
      <c r="Q102" s="133">
        <f t="shared" si="82"/>
        <v>21939.892000000003</v>
      </c>
      <c r="R102" s="133">
        <f>R88+R91+R93+R94+R96+R97+R98+R99+R101+R92</f>
        <v>149552.88799999998</v>
      </c>
      <c r="S102" s="64">
        <f t="shared" si="73"/>
        <v>29611.035000000033</v>
      </c>
      <c r="T102" s="65">
        <f>F102/R102*100</f>
        <v>119.79970791336376</v>
      </c>
      <c r="U102" s="65">
        <f>F102/E102*100</f>
        <v>100.47433491579751</v>
      </c>
      <c r="V102" s="133">
        <f>V88+V91+V93+V94+V96+V97+V98+V99+V101+V92</f>
        <v>164922.611</v>
      </c>
      <c r="W102" s="64">
        <f t="shared" si="75"/>
        <v>14241.312000000005</v>
      </c>
      <c r="X102" s="65">
        <f>F102/V102*100</f>
        <v>108.63514827569642</v>
      </c>
    </row>
    <row r="103" spans="1:24" s="48" customFormat="1" ht="15" customHeight="1" x14ac:dyDescent="0.3">
      <c r="A103" s="47"/>
      <c r="B103" s="99"/>
      <c r="C103" s="40"/>
      <c r="D103" s="134"/>
      <c r="E103" s="134"/>
      <c r="F103" s="134"/>
      <c r="G103" s="134"/>
      <c r="H103" s="134"/>
      <c r="I103" s="134"/>
      <c r="J103" s="134"/>
      <c r="K103" s="134"/>
      <c r="L103" s="134"/>
      <c r="M103" s="134"/>
      <c r="N103" s="134"/>
      <c r="O103" s="134"/>
      <c r="P103" s="134"/>
      <c r="Q103" s="134"/>
      <c r="R103" s="134"/>
      <c r="S103" s="68"/>
      <c r="T103" s="69"/>
      <c r="U103" s="69"/>
      <c r="V103" s="134"/>
      <c r="W103" s="68"/>
      <c r="X103" s="69"/>
    </row>
    <row r="104" spans="1:24" s="129" customFormat="1" ht="97.5" x14ac:dyDescent="0.25">
      <c r="A104" s="163">
        <v>1</v>
      </c>
      <c r="B104" s="135" t="s">
        <v>228</v>
      </c>
      <c r="C104" s="128" t="s">
        <v>71</v>
      </c>
      <c r="D104" s="148">
        <v>120420</v>
      </c>
      <c r="E104" s="148">
        <v>120420</v>
      </c>
      <c r="F104" s="148">
        <f t="shared" si="70"/>
        <v>6040.8</v>
      </c>
      <c r="G104" s="148">
        <v>0</v>
      </c>
      <c r="H104" s="148">
        <v>0</v>
      </c>
      <c r="I104" s="148">
        <v>1530.3</v>
      </c>
      <c r="J104" s="148">
        <v>0</v>
      </c>
      <c r="K104" s="148">
        <v>2328</v>
      </c>
      <c r="L104" s="148">
        <v>0</v>
      </c>
      <c r="M104" s="148">
        <v>0</v>
      </c>
      <c r="N104" s="148">
        <v>0</v>
      </c>
      <c r="O104" s="148">
        <v>2182.5</v>
      </c>
      <c r="P104" s="148">
        <v>0</v>
      </c>
      <c r="Q104" s="148">
        <v>0</v>
      </c>
      <c r="R104" s="148">
        <v>120420</v>
      </c>
      <c r="S104" s="144">
        <f t="shared" ref="S104:S109" si="84">F104-R104</f>
        <v>-114379.2</v>
      </c>
      <c r="T104" s="131">
        <f t="shared" ref="T104:T109" si="85">F104/R104*100</f>
        <v>5.0164424514200299</v>
      </c>
      <c r="U104" s="131">
        <f>F104/E104*100</f>
        <v>5.0164424514200299</v>
      </c>
      <c r="V104" s="148">
        <v>79680.206999999995</v>
      </c>
      <c r="W104" s="144">
        <f t="shared" ref="W104:W109" si="86">F104-V104</f>
        <v>-73639.406999999992</v>
      </c>
      <c r="X104" s="145">
        <f>F104/V104*100</f>
        <v>7.5813056057949257</v>
      </c>
    </row>
    <row r="105" spans="1:24" s="129" customFormat="1" ht="97.5" x14ac:dyDescent="0.25">
      <c r="A105" s="163">
        <f>A104+1</f>
        <v>2</v>
      </c>
      <c r="B105" s="135" t="s">
        <v>229</v>
      </c>
      <c r="C105" s="128" t="s">
        <v>170</v>
      </c>
      <c r="D105" s="148">
        <v>0</v>
      </c>
      <c r="E105" s="148">
        <v>37601.250999999997</v>
      </c>
      <c r="F105" s="148">
        <f t="shared" si="70"/>
        <v>33573.751000000004</v>
      </c>
      <c r="G105" s="148">
        <v>0</v>
      </c>
      <c r="H105" s="148">
        <v>0</v>
      </c>
      <c r="I105" s="148">
        <v>0</v>
      </c>
      <c r="J105" s="148">
        <v>0</v>
      </c>
      <c r="K105" s="148">
        <v>0</v>
      </c>
      <c r="L105" s="148">
        <v>0</v>
      </c>
      <c r="M105" s="148">
        <v>0</v>
      </c>
      <c r="N105" s="148">
        <v>13508.708000000001</v>
      </c>
      <c r="O105" s="148">
        <v>9000.2530000000006</v>
      </c>
      <c r="P105" s="148">
        <v>0</v>
      </c>
      <c r="Q105" s="148">
        <v>11064.79</v>
      </c>
      <c r="R105" s="148">
        <v>33574.65</v>
      </c>
      <c r="S105" s="144">
        <f t="shared" si="84"/>
        <v>-0.89899999999761349</v>
      </c>
      <c r="T105" s="131">
        <f t="shared" si="85"/>
        <v>99.997322384596714</v>
      </c>
      <c r="U105" s="131">
        <f>F105/E105*100</f>
        <v>89.288920201085887</v>
      </c>
      <c r="V105" s="148">
        <v>18825.361000000001</v>
      </c>
      <c r="W105" s="144">
        <f t="shared" si="86"/>
        <v>14748.390000000003</v>
      </c>
      <c r="X105" s="145">
        <f>F105/V105*100</f>
        <v>178.3431988369307</v>
      </c>
    </row>
    <row r="106" spans="1:24" s="129" customFormat="1" ht="58.5" x14ac:dyDescent="0.25">
      <c r="A106" s="176">
        <f t="shared" ref="A106:A107" si="87">A105+1</f>
        <v>3</v>
      </c>
      <c r="B106" s="135" t="s">
        <v>195</v>
      </c>
      <c r="C106" s="128" t="s">
        <v>130</v>
      </c>
      <c r="D106" s="148">
        <v>0</v>
      </c>
      <c r="E106" s="148">
        <v>1527</v>
      </c>
      <c r="F106" s="148">
        <f t="shared" si="70"/>
        <v>0</v>
      </c>
      <c r="G106" s="148"/>
      <c r="H106" s="148"/>
      <c r="I106" s="148"/>
      <c r="J106" s="148"/>
      <c r="K106" s="148"/>
      <c r="L106" s="148"/>
      <c r="M106" s="148"/>
      <c r="N106" s="148"/>
      <c r="O106" s="148"/>
      <c r="P106" s="148"/>
      <c r="Q106" s="148">
        <v>0</v>
      </c>
      <c r="R106" s="148">
        <v>1527</v>
      </c>
      <c r="S106" s="144">
        <f t="shared" si="84"/>
        <v>-1527</v>
      </c>
      <c r="T106" s="131">
        <f t="shared" si="85"/>
        <v>0</v>
      </c>
      <c r="U106" s="131"/>
      <c r="V106" s="148"/>
      <c r="W106" s="144">
        <f t="shared" si="86"/>
        <v>0</v>
      </c>
      <c r="X106" s="145"/>
    </row>
    <row r="107" spans="1:24" s="129" customFormat="1" ht="23.25" x14ac:dyDescent="0.25">
      <c r="A107" s="176">
        <f t="shared" si="87"/>
        <v>4</v>
      </c>
      <c r="B107" s="177" t="s">
        <v>230</v>
      </c>
      <c r="C107" s="128" t="s">
        <v>116</v>
      </c>
      <c r="D107" s="148">
        <v>0</v>
      </c>
      <c r="E107" s="148">
        <f>E108+E109</f>
        <v>13000</v>
      </c>
      <c r="F107" s="148">
        <f t="shared" si="70"/>
        <v>12799.685000000001</v>
      </c>
      <c r="G107" s="148">
        <v>0</v>
      </c>
      <c r="H107" s="148">
        <v>0</v>
      </c>
      <c r="I107" s="148">
        <v>0</v>
      </c>
      <c r="J107" s="148">
        <v>0</v>
      </c>
      <c r="K107" s="148">
        <v>0</v>
      </c>
      <c r="L107" s="148">
        <v>0</v>
      </c>
      <c r="M107" s="148">
        <v>0</v>
      </c>
      <c r="N107" s="148">
        <v>0</v>
      </c>
      <c r="O107" s="148">
        <f>SUM(O108:O109)</f>
        <v>6546.7870000000003</v>
      </c>
      <c r="P107" s="148">
        <f>SUM(P108:P109)</f>
        <v>3561.7049999999999</v>
      </c>
      <c r="Q107" s="148">
        <f>SUM(Q108:Q109)</f>
        <v>2691.1930000000002</v>
      </c>
      <c r="R107" s="148">
        <v>13000</v>
      </c>
      <c r="S107" s="144">
        <f t="shared" si="84"/>
        <v>-200.31499999999869</v>
      </c>
      <c r="T107" s="131">
        <f t="shared" si="85"/>
        <v>98.459115384615387</v>
      </c>
      <c r="U107" s="131">
        <f>F107/E107*100</f>
        <v>98.459115384615387</v>
      </c>
      <c r="V107" s="148">
        <v>0</v>
      </c>
      <c r="W107" s="144">
        <f t="shared" si="86"/>
        <v>12799.685000000001</v>
      </c>
      <c r="X107" s="145"/>
    </row>
    <row r="108" spans="1:24" s="6" customFormat="1" ht="58.5" x14ac:dyDescent="0.25">
      <c r="A108" s="130" t="s">
        <v>125</v>
      </c>
      <c r="B108" s="168" t="s">
        <v>179</v>
      </c>
      <c r="C108" s="15"/>
      <c r="D108" s="149">
        <v>0</v>
      </c>
      <c r="E108" s="149">
        <v>3000</v>
      </c>
      <c r="F108" s="149">
        <f t="shared" si="70"/>
        <v>2799.6850000000004</v>
      </c>
      <c r="G108" s="149">
        <v>0</v>
      </c>
      <c r="H108" s="149">
        <v>0</v>
      </c>
      <c r="I108" s="149">
        <v>0</v>
      </c>
      <c r="J108" s="149">
        <v>0</v>
      </c>
      <c r="K108" s="149">
        <v>0</v>
      </c>
      <c r="L108" s="149">
        <v>0</v>
      </c>
      <c r="M108" s="149">
        <v>0</v>
      </c>
      <c r="N108" s="149">
        <v>0</v>
      </c>
      <c r="O108" s="149">
        <v>108.492</v>
      </c>
      <c r="P108" s="149">
        <v>0</v>
      </c>
      <c r="Q108" s="149">
        <f>1736.848+954.345</f>
        <v>2691.1930000000002</v>
      </c>
      <c r="R108" s="149">
        <v>3000</v>
      </c>
      <c r="S108" s="92">
        <f t="shared" si="84"/>
        <v>-200.3149999999996</v>
      </c>
      <c r="T108" s="169">
        <f t="shared" si="85"/>
        <v>93.32283333333335</v>
      </c>
      <c r="U108" s="169">
        <f>F108/E108*100</f>
        <v>93.32283333333335</v>
      </c>
      <c r="V108" s="149">
        <v>0</v>
      </c>
      <c r="W108" s="92">
        <f t="shared" si="86"/>
        <v>2799.6850000000004</v>
      </c>
      <c r="X108" s="147"/>
    </row>
    <row r="109" spans="1:24" s="6" customFormat="1" ht="23.25" x14ac:dyDescent="0.25">
      <c r="A109" s="130" t="s">
        <v>126</v>
      </c>
      <c r="B109" s="168" t="s">
        <v>180</v>
      </c>
      <c r="C109" s="15"/>
      <c r="D109" s="149">
        <v>0</v>
      </c>
      <c r="E109" s="149">
        <v>10000</v>
      </c>
      <c r="F109" s="149">
        <f t="shared" si="70"/>
        <v>10000</v>
      </c>
      <c r="G109" s="149">
        <v>0</v>
      </c>
      <c r="H109" s="149">
        <v>0</v>
      </c>
      <c r="I109" s="149">
        <v>0</v>
      </c>
      <c r="J109" s="149">
        <v>0</v>
      </c>
      <c r="K109" s="149">
        <v>0</v>
      </c>
      <c r="L109" s="149">
        <v>0</v>
      </c>
      <c r="M109" s="149">
        <v>0</v>
      </c>
      <c r="N109" s="149">
        <v>0</v>
      </c>
      <c r="O109" s="149">
        <v>6438.2950000000001</v>
      </c>
      <c r="P109" s="149">
        <f>1797.99+1763.715</f>
        <v>3561.7049999999999</v>
      </c>
      <c r="Q109" s="149">
        <v>0</v>
      </c>
      <c r="R109" s="149">
        <v>10000</v>
      </c>
      <c r="S109" s="92">
        <f t="shared" si="84"/>
        <v>0</v>
      </c>
      <c r="T109" s="169">
        <f t="shared" si="85"/>
        <v>100</v>
      </c>
      <c r="U109" s="169">
        <f>F109/E109*100</f>
        <v>100</v>
      </c>
      <c r="V109" s="149">
        <v>0</v>
      </c>
      <c r="W109" s="92">
        <f t="shared" si="86"/>
        <v>10000</v>
      </c>
      <c r="X109" s="147"/>
    </row>
    <row r="110" spans="1:24" s="27" customFormat="1" ht="22.5" x14ac:dyDescent="0.25">
      <c r="A110" s="26"/>
      <c r="B110" s="70"/>
      <c r="C110" s="19"/>
      <c r="D110" s="134"/>
      <c r="E110" s="134"/>
      <c r="F110" s="134"/>
      <c r="G110" s="134"/>
      <c r="H110" s="134"/>
      <c r="I110" s="134"/>
      <c r="J110" s="134"/>
      <c r="K110" s="134"/>
      <c r="L110" s="134"/>
      <c r="M110" s="134"/>
      <c r="N110" s="134"/>
      <c r="O110" s="134"/>
      <c r="P110" s="134"/>
      <c r="Q110" s="134"/>
      <c r="R110" s="134"/>
      <c r="S110" s="68"/>
      <c r="T110" s="69"/>
      <c r="U110" s="69"/>
      <c r="V110" s="134"/>
      <c r="W110" s="68"/>
      <c r="X110" s="69"/>
    </row>
    <row r="111" spans="1:24" s="41" customFormat="1" ht="28.5" customHeight="1" x14ac:dyDescent="0.3">
      <c r="A111" s="39"/>
      <c r="B111" s="42" t="s">
        <v>28</v>
      </c>
      <c r="C111" s="40"/>
      <c r="D111" s="134">
        <f>D112+D113</f>
        <v>120420</v>
      </c>
      <c r="E111" s="134">
        <f>E112+E113</f>
        <v>172548.25099999999</v>
      </c>
      <c r="F111" s="134">
        <f t="shared" si="70"/>
        <v>52414.236000000004</v>
      </c>
      <c r="G111" s="134">
        <f t="shared" ref="G111:R111" si="88">G112+G113</f>
        <v>0</v>
      </c>
      <c r="H111" s="134">
        <f t="shared" si="88"/>
        <v>0</v>
      </c>
      <c r="I111" s="134">
        <f t="shared" si="88"/>
        <v>1530.3</v>
      </c>
      <c r="J111" s="134">
        <f t="shared" si="88"/>
        <v>0</v>
      </c>
      <c r="K111" s="134">
        <f t="shared" ref="K111:P111" si="89">K112+K113</f>
        <v>2328</v>
      </c>
      <c r="L111" s="134">
        <f t="shared" si="89"/>
        <v>0</v>
      </c>
      <c r="M111" s="134">
        <f t="shared" si="89"/>
        <v>0</v>
      </c>
      <c r="N111" s="134">
        <f t="shared" si="89"/>
        <v>13508.708000000001</v>
      </c>
      <c r="O111" s="134">
        <f t="shared" si="89"/>
        <v>17729.54</v>
      </c>
      <c r="P111" s="134">
        <f t="shared" si="89"/>
        <v>3561.7049999999999</v>
      </c>
      <c r="Q111" s="134">
        <f t="shared" si="88"/>
        <v>13755.983</v>
      </c>
      <c r="R111" s="134">
        <f t="shared" si="88"/>
        <v>168521.65</v>
      </c>
      <c r="S111" s="68">
        <f>F111-R111</f>
        <v>-116107.41399999999</v>
      </c>
      <c r="T111" s="69">
        <f>F111/R111*100</f>
        <v>31.1023752734441</v>
      </c>
      <c r="U111" s="69">
        <f>F111/E111*100</f>
        <v>30.376567537621696</v>
      </c>
      <c r="V111" s="134">
        <f t="shared" ref="V111" si="90">V112+V113</f>
        <v>98705.567999999999</v>
      </c>
      <c r="W111" s="68">
        <f>F111-V111</f>
        <v>-46291.331999999995</v>
      </c>
      <c r="X111" s="69">
        <f>F111/V111*100</f>
        <v>53.101600104261607</v>
      </c>
    </row>
    <row r="112" spans="1:24" s="6" customFormat="1" ht="37.5" hidden="1" customHeight="1" x14ac:dyDescent="0.25">
      <c r="A112" s="12"/>
      <c r="B112" s="15" t="s">
        <v>106</v>
      </c>
      <c r="C112" s="15"/>
      <c r="D112" s="149">
        <f>D104</f>
        <v>120420</v>
      </c>
      <c r="E112" s="149">
        <f>E104</f>
        <v>120420</v>
      </c>
      <c r="F112" s="149">
        <f t="shared" si="70"/>
        <v>6040.8</v>
      </c>
      <c r="G112" s="149">
        <f t="shared" ref="G112:R112" si="91">G104</f>
        <v>0</v>
      </c>
      <c r="H112" s="149">
        <f t="shared" si="91"/>
        <v>0</v>
      </c>
      <c r="I112" s="149">
        <f t="shared" si="91"/>
        <v>1530.3</v>
      </c>
      <c r="J112" s="149">
        <f t="shared" si="91"/>
        <v>0</v>
      </c>
      <c r="K112" s="149">
        <f t="shared" ref="K112:P112" si="92">K104</f>
        <v>2328</v>
      </c>
      <c r="L112" s="149">
        <f t="shared" si="92"/>
        <v>0</v>
      </c>
      <c r="M112" s="149">
        <f t="shared" si="92"/>
        <v>0</v>
      </c>
      <c r="N112" s="149">
        <f t="shared" si="92"/>
        <v>0</v>
      </c>
      <c r="O112" s="149">
        <f t="shared" si="92"/>
        <v>2182.5</v>
      </c>
      <c r="P112" s="149">
        <f t="shared" si="92"/>
        <v>0</v>
      </c>
      <c r="Q112" s="149">
        <f t="shared" si="91"/>
        <v>0</v>
      </c>
      <c r="R112" s="149">
        <f t="shared" si="91"/>
        <v>120420</v>
      </c>
      <c r="S112" s="92">
        <f>F112-R112</f>
        <v>-114379.2</v>
      </c>
      <c r="T112" s="147">
        <f t="shared" ref="T112:T113" si="93">F112/R112*100</f>
        <v>5.0164424514200299</v>
      </c>
      <c r="U112" s="147">
        <f>F112/E112*100</f>
        <v>5.0164424514200299</v>
      </c>
      <c r="V112" s="149">
        <f>V104</f>
        <v>79680.206999999995</v>
      </c>
      <c r="W112" s="92">
        <f>F112-V112</f>
        <v>-73639.406999999992</v>
      </c>
      <c r="X112" s="147">
        <f>F112/V112*100</f>
        <v>7.5813056057949257</v>
      </c>
    </row>
    <row r="113" spans="1:26" s="6" customFormat="1" ht="37.5" hidden="1" customHeight="1" x14ac:dyDescent="0.25">
      <c r="A113" s="12"/>
      <c r="B113" s="125" t="s">
        <v>105</v>
      </c>
      <c r="C113" s="15"/>
      <c r="D113" s="149">
        <f>D107</f>
        <v>0</v>
      </c>
      <c r="E113" s="149">
        <f>E107+E105+E106</f>
        <v>52128.250999999997</v>
      </c>
      <c r="F113" s="149">
        <f>SUM(G113:Q113)</f>
        <v>46373.436000000002</v>
      </c>
      <c r="G113" s="149">
        <f>G107+G105</f>
        <v>0</v>
      </c>
      <c r="H113" s="149">
        <f t="shared" ref="H113:Q113" si="94">H107+H105</f>
        <v>0</v>
      </c>
      <c r="I113" s="149">
        <f t="shared" si="94"/>
        <v>0</v>
      </c>
      <c r="J113" s="149">
        <f t="shared" si="94"/>
        <v>0</v>
      </c>
      <c r="K113" s="149">
        <f t="shared" si="94"/>
        <v>0</v>
      </c>
      <c r="L113" s="149">
        <f t="shared" si="94"/>
        <v>0</v>
      </c>
      <c r="M113" s="149">
        <f t="shared" ref="M113:P113" si="95">M107+M105</f>
        <v>0</v>
      </c>
      <c r="N113" s="149">
        <f t="shared" si="95"/>
        <v>13508.708000000001</v>
      </c>
      <c r="O113" s="149">
        <f t="shared" si="95"/>
        <v>15547.04</v>
      </c>
      <c r="P113" s="149">
        <f t="shared" si="95"/>
        <v>3561.7049999999999</v>
      </c>
      <c r="Q113" s="149">
        <f t="shared" si="94"/>
        <v>13755.983</v>
      </c>
      <c r="R113" s="149">
        <f>R107+R105+R106</f>
        <v>48101.65</v>
      </c>
      <c r="S113" s="92">
        <f>F113-R113</f>
        <v>-1728.2139999999999</v>
      </c>
      <c r="T113" s="147">
        <f t="shared" si="93"/>
        <v>96.407162748055413</v>
      </c>
      <c r="U113" s="147">
        <f>F113/E113*100</f>
        <v>88.960276069880038</v>
      </c>
      <c r="V113" s="149">
        <f>V105+V107+V100</f>
        <v>19025.361000000001</v>
      </c>
      <c r="W113" s="92">
        <f>F113-V113</f>
        <v>27348.075000000001</v>
      </c>
      <c r="X113" s="147">
        <f>F113/V113*100</f>
        <v>243.74536703929036</v>
      </c>
    </row>
    <row r="114" spans="1:26" s="8" customFormat="1" ht="13.5" customHeight="1" x14ac:dyDescent="0.25">
      <c r="A114" s="163"/>
      <c r="B114" s="31"/>
      <c r="C114" s="128"/>
      <c r="D114" s="148"/>
      <c r="E114" s="148"/>
      <c r="F114" s="151"/>
      <c r="G114" s="151"/>
      <c r="H114" s="151"/>
      <c r="I114" s="151"/>
      <c r="J114" s="151"/>
      <c r="K114" s="151"/>
      <c r="L114" s="151"/>
      <c r="M114" s="151"/>
      <c r="N114" s="151"/>
      <c r="O114" s="151"/>
      <c r="P114" s="151"/>
      <c r="Q114" s="151"/>
      <c r="R114" s="148"/>
      <c r="S114" s="144"/>
      <c r="T114" s="145"/>
      <c r="U114" s="145"/>
      <c r="V114" s="151"/>
      <c r="W114" s="144"/>
      <c r="X114" s="145"/>
    </row>
    <row r="115" spans="1:26" s="108" customFormat="1" ht="33.75" customHeight="1" x14ac:dyDescent="0.3">
      <c r="A115" s="101"/>
      <c r="B115" s="102" t="s">
        <v>41</v>
      </c>
      <c r="C115" s="109"/>
      <c r="D115" s="104">
        <f>D102+D111</f>
        <v>289313.098</v>
      </c>
      <c r="E115" s="104">
        <f>E102+E111</f>
        <v>350866.34899999999</v>
      </c>
      <c r="F115" s="104">
        <f t="shared" si="70"/>
        <v>231578.15899999999</v>
      </c>
      <c r="G115" s="104">
        <f t="shared" ref="G115:R115" si="96">G102+G111</f>
        <v>13052.776</v>
      </c>
      <c r="H115" s="104">
        <f t="shared" si="96"/>
        <v>11009.893</v>
      </c>
      <c r="I115" s="104">
        <f t="shared" si="96"/>
        <v>18611.735000000001</v>
      </c>
      <c r="J115" s="104">
        <f t="shared" si="96"/>
        <v>11273.431999999999</v>
      </c>
      <c r="K115" s="104">
        <f t="shared" si="96"/>
        <v>13123.981</v>
      </c>
      <c r="L115" s="104">
        <f t="shared" si="96"/>
        <v>19595.115999999998</v>
      </c>
      <c r="M115" s="104">
        <f t="shared" si="96"/>
        <v>7688.4280000000008</v>
      </c>
      <c r="N115" s="104">
        <f t="shared" si="96"/>
        <v>31235.726000000002</v>
      </c>
      <c r="O115" s="104">
        <f t="shared" si="96"/>
        <v>55064.840000000004</v>
      </c>
      <c r="P115" s="104">
        <f t="shared" si="96"/>
        <v>15226.357</v>
      </c>
      <c r="Q115" s="104">
        <f t="shared" si="96"/>
        <v>35695.875</v>
      </c>
      <c r="R115" s="104">
        <f t="shared" si="96"/>
        <v>318074.53799999994</v>
      </c>
      <c r="S115" s="105">
        <f>F115-R115</f>
        <v>-86496.378999999957</v>
      </c>
      <c r="T115" s="106">
        <f>F115/R115*100</f>
        <v>72.80625492883685</v>
      </c>
      <c r="U115" s="106">
        <f>F115/E115*100</f>
        <v>66.001815124197051</v>
      </c>
      <c r="V115" s="104">
        <f>V102+V111</f>
        <v>263628.179</v>
      </c>
      <c r="W115" s="105">
        <f>F115-V115</f>
        <v>-32050.020000000019</v>
      </c>
      <c r="X115" s="106">
        <f>F115/V115*100</f>
        <v>87.842718437166752</v>
      </c>
      <c r="Y115" s="108">
        <v>263628.179</v>
      </c>
      <c r="Z115" s="107">
        <f>Y115-V115</f>
        <v>0</v>
      </c>
    </row>
    <row r="116" spans="1:26" s="11" customFormat="1" ht="25.5" customHeight="1" x14ac:dyDescent="0.25">
      <c r="A116" s="188" t="s">
        <v>40</v>
      </c>
      <c r="B116" s="188"/>
      <c r="C116" s="188"/>
      <c r="D116" s="188"/>
      <c r="E116" s="188"/>
      <c r="F116" s="188"/>
      <c r="G116" s="188"/>
      <c r="H116" s="188"/>
      <c r="I116" s="188"/>
      <c r="J116" s="188"/>
      <c r="K116" s="188"/>
      <c r="L116" s="188"/>
      <c r="M116" s="188"/>
      <c r="N116" s="188"/>
      <c r="O116" s="188"/>
      <c r="P116" s="188"/>
      <c r="Q116" s="188"/>
      <c r="R116" s="188"/>
      <c r="S116" s="188"/>
      <c r="T116" s="188"/>
      <c r="U116" s="188"/>
      <c r="V116" s="188"/>
      <c r="W116" s="188"/>
      <c r="X116" s="188"/>
    </row>
    <row r="117" spans="1:26" s="115" customFormat="1" ht="33" customHeight="1" x14ac:dyDescent="0.3">
      <c r="A117" s="117"/>
      <c r="B117" s="110" t="s">
        <v>155</v>
      </c>
      <c r="C117" s="111"/>
      <c r="D117" s="112">
        <f>D48+D102</f>
        <v>3920514.4869999997</v>
      </c>
      <c r="E117" s="112">
        <f>E48+E102</f>
        <v>3929939.4869999997</v>
      </c>
      <c r="F117" s="112">
        <f t="shared" ref="F117:F125" si="97">SUM(G117:Q117)</f>
        <v>3548282.04</v>
      </c>
      <c r="G117" s="112">
        <f t="shared" ref="G117:R117" si="98">G48+G102</f>
        <v>250348.01899999997</v>
      </c>
      <c r="H117" s="112">
        <f t="shared" si="98"/>
        <v>316324.92599999992</v>
      </c>
      <c r="I117" s="112">
        <f t="shared" si="98"/>
        <v>293871.63500000001</v>
      </c>
      <c r="J117" s="112">
        <f t="shared" si="98"/>
        <v>321819.16699999996</v>
      </c>
      <c r="K117" s="112">
        <f t="shared" si="98"/>
        <v>319289.49</v>
      </c>
      <c r="L117" s="112">
        <f t="shared" si="98"/>
        <v>314075.54199999996</v>
      </c>
      <c r="M117" s="112">
        <f t="shared" si="98"/>
        <v>331080.71700000006</v>
      </c>
      <c r="N117" s="112">
        <f t="shared" si="98"/>
        <v>328019.30800000002</v>
      </c>
      <c r="O117" s="112">
        <f t="shared" si="98"/>
        <v>307651.52699999994</v>
      </c>
      <c r="P117" s="112">
        <f t="shared" si="98"/>
        <v>387361.58800000016</v>
      </c>
      <c r="Q117" s="112">
        <f t="shared" si="98"/>
        <v>378440.12100000004</v>
      </c>
      <c r="R117" s="112">
        <f t="shared" si="98"/>
        <v>3449113.213</v>
      </c>
      <c r="S117" s="113">
        <f>F117-R117</f>
        <v>99168.827000000048</v>
      </c>
      <c r="T117" s="114">
        <f>F117/R117*100</f>
        <v>102.87519779363068</v>
      </c>
      <c r="U117" s="114">
        <f>F117/E117*100</f>
        <v>90.288465044754531</v>
      </c>
      <c r="V117" s="112">
        <f>V48+V102</f>
        <v>3032366.4699999997</v>
      </c>
      <c r="W117" s="113">
        <f>F117-V117</f>
        <v>515915.5700000003</v>
      </c>
      <c r="X117" s="114">
        <f>F117/V117*100</f>
        <v>117.01362863308537</v>
      </c>
    </row>
    <row r="118" spans="1:26" s="24" customFormat="1" ht="12.75" customHeight="1" x14ac:dyDescent="0.3">
      <c r="A118" s="10"/>
      <c r="B118" s="14"/>
      <c r="C118" s="19"/>
      <c r="D118" s="134"/>
      <c r="E118" s="134"/>
      <c r="F118" s="134"/>
      <c r="G118" s="134"/>
      <c r="H118" s="134"/>
      <c r="I118" s="134"/>
      <c r="J118" s="134"/>
      <c r="K118" s="134"/>
      <c r="L118" s="134"/>
      <c r="M118" s="134"/>
      <c r="N118" s="134"/>
      <c r="O118" s="134"/>
      <c r="P118" s="134"/>
      <c r="Q118" s="134"/>
      <c r="R118" s="134"/>
      <c r="S118" s="68"/>
      <c r="T118" s="69"/>
      <c r="U118" s="69"/>
      <c r="V118" s="134"/>
      <c r="W118" s="68"/>
      <c r="X118" s="69"/>
    </row>
    <row r="119" spans="1:26" s="41" customFormat="1" ht="35.25" customHeight="1" x14ac:dyDescent="0.3">
      <c r="A119" s="39"/>
      <c r="B119" s="42" t="s">
        <v>28</v>
      </c>
      <c r="C119" s="40"/>
      <c r="D119" s="134">
        <f>D79+D111</f>
        <v>864542.80200000003</v>
      </c>
      <c r="E119" s="134">
        <f>E79+E111</f>
        <v>964351.44800000009</v>
      </c>
      <c r="F119" s="134">
        <f t="shared" si="97"/>
        <v>770563.61399999994</v>
      </c>
      <c r="G119" s="134">
        <f t="shared" ref="G119:R119" si="99">G79+G111</f>
        <v>46907.102000000006</v>
      </c>
      <c r="H119" s="134">
        <f t="shared" si="99"/>
        <v>54592.909</v>
      </c>
      <c r="I119" s="134">
        <f t="shared" si="99"/>
        <v>58734.604000000007</v>
      </c>
      <c r="J119" s="134">
        <f t="shared" si="99"/>
        <v>57797.366999999998</v>
      </c>
      <c r="K119" s="134">
        <f t="shared" si="99"/>
        <v>81686.313000000009</v>
      </c>
      <c r="L119" s="134">
        <f t="shared" si="99"/>
        <v>145334.226</v>
      </c>
      <c r="M119" s="134">
        <f t="shared" si="99"/>
        <v>28903.632999999998</v>
      </c>
      <c r="N119" s="134">
        <f t="shared" si="99"/>
        <v>53965.144</v>
      </c>
      <c r="O119" s="134">
        <f t="shared" si="99"/>
        <v>95230.942999999999</v>
      </c>
      <c r="P119" s="134">
        <f t="shared" si="99"/>
        <v>65797.447999999989</v>
      </c>
      <c r="Q119" s="134">
        <f t="shared" si="99"/>
        <v>81613.925000000017</v>
      </c>
      <c r="R119" s="134">
        <f t="shared" si="99"/>
        <v>887515.45500000007</v>
      </c>
      <c r="S119" s="68">
        <f>F119-R119</f>
        <v>-116951.84100000013</v>
      </c>
      <c r="T119" s="69">
        <f>F119/R119*100</f>
        <v>86.822557247749543</v>
      </c>
      <c r="U119" s="69">
        <f>F119/E119*100</f>
        <v>79.904853733366281</v>
      </c>
      <c r="V119" s="134">
        <f>V79+V111</f>
        <v>769616.14200000011</v>
      </c>
      <c r="W119" s="68">
        <f>F119-V119</f>
        <v>947.47199999983422</v>
      </c>
      <c r="X119" s="69">
        <f>F119/V119*100</f>
        <v>100.12310968394422</v>
      </c>
    </row>
    <row r="120" spans="1:26" s="41" customFormat="1" ht="35.25" hidden="1" customHeight="1" x14ac:dyDescent="0.3">
      <c r="A120" s="39"/>
      <c r="B120" s="42" t="s">
        <v>117</v>
      </c>
      <c r="C120" s="40"/>
      <c r="D120" s="134"/>
      <c r="E120" s="134"/>
      <c r="F120" s="134"/>
      <c r="G120" s="134"/>
      <c r="H120" s="134"/>
      <c r="I120" s="134"/>
      <c r="J120" s="134"/>
      <c r="K120" s="134"/>
      <c r="L120" s="134"/>
      <c r="M120" s="134"/>
      <c r="N120" s="134"/>
      <c r="O120" s="134"/>
      <c r="P120" s="134"/>
      <c r="Q120" s="134"/>
      <c r="R120" s="134"/>
      <c r="S120" s="68"/>
      <c r="T120" s="69"/>
      <c r="U120" s="69"/>
      <c r="V120" s="134">
        <f>V81</f>
        <v>12210.8</v>
      </c>
      <c r="W120" s="68">
        <f>F120-V120</f>
        <v>-12210.8</v>
      </c>
      <c r="X120" s="69"/>
    </row>
    <row r="121" spans="1:26" s="41" customFormat="1" ht="35.25" hidden="1" customHeight="1" x14ac:dyDescent="0.3">
      <c r="A121" s="118"/>
      <c r="B121" s="42" t="s">
        <v>72</v>
      </c>
      <c r="C121" s="40"/>
      <c r="D121" s="134">
        <f t="shared" ref="D121:E121" si="100">D122+D123</f>
        <v>864542.80200000003</v>
      </c>
      <c r="E121" s="134">
        <f t="shared" si="100"/>
        <v>964351.44800000009</v>
      </c>
      <c r="F121" s="134">
        <f t="shared" si="97"/>
        <v>770563.61399999994</v>
      </c>
      <c r="G121" s="134">
        <f t="shared" ref="G121:R121" si="101">G122+G123</f>
        <v>46907.102000000006</v>
      </c>
      <c r="H121" s="134">
        <f t="shared" ref="H121" si="102">H122+H123</f>
        <v>54592.909</v>
      </c>
      <c r="I121" s="134">
        <f t="shared" ref="I121:Q121" si="103">I122+I123</f>
        <v>58734.604000000007</v>
      </c>
      <c r="J121" s="134">
        <f t="shared" ref="J121:P121" si="104">J122+J123</f>
        <v>57797.366999999998</v>
      </c>
      <c r="K121" s="134">
        <f t="shared" si="104"/>
        <v>81686.313000000009</v>
      </c>
      <c r="L121" s="134">
        <f t="shared" si="104"/>
        <v>145334.226</v>
      </c>
      <c r="M121" s="134">
        <f t="shared" si="104"/>
        <v>28903.632999999998</v>
      </c>
      <c r="N121" s="134">
        <f t="shared" si="104"/>
        <v>53965.144</v>
      </c>
      <c r="O121" s="134">
        <f t="shared" si="104"/>
        <v>95230.942999999999</v>
      </c>
      <c r="P121" s="134">
        <f t="shared" si="104"/>
        <v>65797.448000000004</v>
      </c>
      <c r="Q121" s="134">
        <f t="shared" si="103"/>
        <v>81613.925000000003</v>
      </c>
      <c r="R121" s="134">
        <f t="shared" si="101"/>
        <v>887515.45500000007</v>
      </c>
      <c r="S121" s="68">
        <f>F121-R121</f>
        <v>-116951.84100000013</v>
      </c>
      <c r="T121" s="69">
        <f>F121/R121*100</f>
        <v>86.822557247749543</v>
      </c>
      <c r="U121" s="69">
        <f>F121/E121*100</f>
        <v>79.904853733366281</v>
      </c>
      <c r="V121" s="134">
        <f t="shared" ref="V121" si="105">V122+V123</f>
        <v>757405.34199999995</v>
      </c>
      <c r="W121" s="68">
        <f>F121-V121</f>
        <v>13158.271999999997</v>
      </c>
      <c r="X121" s="69">
        <f>F121/V121*100</f>
        <v>101.7372827032424</v>
      </c>
    </row>
    <row r="122" spans="1:26" s="121" customFormat="1" ht="35.25" hidden="1" customHeight="1" x14ac:dyDescent="0.35">
      <c r="A122" s="119"/>
      <c r="B122" s="120" t="s">
        <v>106</v>
      </c>
      <c r="C122" s="120"/>
      <c r="D122" s="149">
        <f>D83+D112</f>
        <v>838223.4</v>
      </c>
      <c r="E122" s="149">
        <f>E83+E112</f>
        <v>856352.20000000007</v>
      </c>
      <c r="F122" s="149">
        <f t="shared" si="97"/>
        <v>671390.1</v>
      </c>
      <c r="G122" s="149">
        <f t="shared" ref="G122:R122" si="106">G83+G112</f>
        <v>44804.3</v>
      </c>
      <c r="H122" s="149">
        <f t="shared" si="106"/>
        <v>52312.800000000003</v>
      </c>
      <c r="I122" s="149">
        <f t="shared" si="106"/>
        <v>56011.100000000006</v>
      </c>
      <c r="J122" s="149">
        <f t="shared" si="106"/>
        <v>55203.4</v>
      </c>
      <c r="K122" s="149">
        <f t="shared" si="106"/>
        <v>76945.8</v>
      </c>
      <c r="L122" s="149">
        <f t="shared" si="106"/>
        <v>139119.6</v>
      </c>
      <c r="M122" s="149">
        <f t="shared" si="106"/>
        <v>26610.1</v>
      </c>
      <c r="N122" s="149">
        <f t="shared" si="106"/>
        <v>30223.4</v>
      </c>
      <c r="O122" s="149">
        <f t="shared" si="106"/>
        <v>63712.3</v>
      </c>
      <c r="P122" s="149">
        <f t="shared" si="106"/>
        <v>60575.199999999997</v>
      </c>
      <c r="Q122" s="149">
        <f t="shared" si="106"/>
        <v>65872.100000000006</v>
      </c>
      <c r="R122" s="149">
        <f t="shared" si="106"/>
        <v>785769.3</v>
      </c>
      <c r="S122" s="92">
        <f>F122-R122</f>
        <v>-114379.20000000007</v>
      </c>
      <c r="T122" s="147">
        <f>F122/R122*100</f>
        <v>85.443666480734223</v>
      </c>
      <c r="U122" s="147">
        <f>F122/E122*100</f>
        <v>78.401164847827786</v>
      </c>
      <c r="V122" s="149">
        <f>V83+V112</f>
        <v>668770.50699999998</v>
      </c>
      <c r="W122" s="92">
        <f>F122-V122</f>
        <v>2619.5929999999935</v>
      </c>
      <c r="X122" s="147">
        <f>F122/V122*100</f>
        <v>100.39170282968234</v>
      </c>
    </row>
    <row r="123" spans="1:26" s="121" customFormat="1" ht="35.25" hidden="1" customHeight="1" x14ac:dyDescent="0.35">
      <c r="A123" s="119"/>
      <c r="B123" s="120" t="s">
        <v>105</v>
      </c>
      <c r="C123" s="120"/>
      <c r="D123" s="149">
        <f>D113+D84</f>
        <v>26319.402000000002</v>
      </c>
      <c r="E123" s="149">
        <f>E113+E84</f>
        <v>107999.24799999999</v>
      </c>
      <c r="F123" s="149">
        <f t="shared" si="97"/>
        <v>99173.513999999981</v>
      </c>
      <c r="G123" s="149">
        <f t="shared" ref="G123:R123" si="107">G113+G84</f>
        <v>2102.8020000000001</v>
      </c>
      <c r="H123" s="149">
        <f t="shared" si="107"/>
        <v>2280.1089999999999</v>
      </c>
      <c r="I123" s="149">
        <f t="shared" si="107"/>
        <v>2723.5039999999999</v>
      </c>
      <c r="J123" s="149">
        <f t="shared" si="107"/>
        <v>2593.9670000000001</v>
      </c>
      <c r="K123" s="149">
        <f t="shared" si="107"/>
        <v>4740.5129999999999</v>
      </c>
      <c r="L123" s="149">
        <f t="shared" si="107"/>
        <v>6214.6260000000002</v>
      </c>
      <c r="M123" s="149">
        <f t="shared" si="107"/>
        <v>2293.5329999999999</v>
      </c>
      <c r="N123" s="149">
        <f t="shared" si="107"/>
        <v>23741.743999999999</v>
      </c>
      <c r="O123" s="149">
        <f t="shared" si="107"/>
        <v>31518.643</v>
      </c>
      <c r="P123" s="149">
        <f t="shared" si="107"/>
        <v>5222.2479999999996</v>
      </c>
      <c r="Q123" s="149">
        <f t="shared" si="107"/>
        <v>15741.825000000001</v>
      </c>
      <c r="R123" s="149">
        <f t="shared" si="107"/>
        <v>101746.155</v>
      </c>
      <c r="S123" s="92">
        <f>F123-R123</f>
        <v>-2572.6410000000178</v>
      </c>
      <c r="T123" s="147">
        <f>F123/R123*100</f>
        <v>97.471510348474581</v>
      </c>
      <c r="U123" s="147">
        <f>F123/E123*100</f>
        <v>91.827967172512146</v>
      </c>
      <c r="V123" s="149">
        <f>V113+V84</f>
        <v>88634.835000000021</v>
      </c>
      <c r="W123" s="92">
        <f>F123-V123</f>
        <v>10538.67899999996</v>
      </c>
      <c r="X123" s="147">
        <f>F123/V123*100</f>
        <v>111.88999674902081</v>
      </c>
    </row>
    <row r="124" spans="1:26" s="6" customFormat="1" ht="10.5" customHeight="1" x14ac:dyDescent="0.25">
      <c r="A124" s="20"/>
      <c r="B124" s="34"/>
      <c r="C124" s="15"/>
      <c r="D124" s="149"/>
      <c r="E124" s="149"/>
      <c r="F124" s="149"/>
      <c r="G124" s="149"/>
      <c r="H124" s="149"/>
      <c r="I124" s="149"/>
      <c r="J124" s="149"/>
      <c r="K124" s="149"/>
      <c r="L124" s="149"/>
      <c r="M124" s="149"/>
      <c r="N124" s="149"/>
      <c r="O124" s="149"/>
      <c r="P124" s="149"/>
      <c r="Q124" s="149"/>
      <c r="R124" s="149"/>
      <c r="S124" s="92"/>
      <c r="T124" s="147"/>
      <c r="U124" s="147"/>
      <c r="V124" s="149"/>
      <c r="W124" s="92"/>
      <c r="X124" s="147"/>
    </row>
    <row r="125" spans="1:26" s="108" customFormat="1" ht="46.5" x14ac:dyDescent="0.3">
      <c r="A125" s="116"/>
      <c r="B125" s="102" t="s">
        <v>147</v>
      </c>
      <c r="C125" s="109"/>
      <c r="D125" s="104">
        <f>D117+D119</f>
        <v>4785057.2889999999</v>
      </c>
      <c r="E125" s="104">
        <f>E117+E119</f>
        <v>4894290.9349999996</v>
      </c>
      <c r="F125" s="104">
        <f t="shared" si="97"/>
        <v>4318845.6540000001</v>
      </c>
      <c r="G125" s="104">
        <f t="shared" ref="G125:R125" si="108">G117+G119</f>
        <v>297255.12099999998</v>
      </c>
      <c r="H125" s="104">
        <f t="shared" si="108"/>
        <v>370917.8349999999</v>
      </c>
      <c r="I125" s="104">
        <f t="shared" si="108"/>
        <v>352606.239</v>
      </c>
      <c r="J125" s="104">
        <f t="shared" si="108"/>
        <v>379616.53399999999</v>
      </c>
      <c r="K125" s="104">
        <f t="shared" si="108"/>
        <v>400975.80300000001</v>
      </c>
      <c r="L125" s="104">
        <f t="shared" si="108"/>
        <v>459409.76799999992</v>
      </c>
      <c r="M125" s="104">
        <f t="shared" si="108"/>
        <v>359984.35000000003</v>
      </c>
      <c r="N125" s="104">
        <f t="shared" si="108"/>
        <v>381984.45200000005</v>
      </c>
      <c r="O125" s="104">
        <f t="shared" si="108"/>
        <v>402882.47</v>
      </c>
      <c r="P125" s="104">
        <f t="shared" si="108"/>
        <v>453159.03600000014</v>
      </c>
      <c r="Q125" s="104">
        <f t="shared" si="108"/>
        <v>460054.04600000009</v>
      </c>
      <c r="R125" s="104">
        <f t="shared" si="108"/>
        <v>4336628.6679999996</v>
      </c>
      <c r="S125" s="105">
        <f>F125-R125</f>
        <v>-17783.013999999501</v>
      </c>
      <c r="T125" s="106">
        <f>F125/R125*100</f>
        <v>99.589934592942669</v>
      </c>
      <c r="U125" s="106">
        <f>F125/E125*100</f>
        <v>88.242519935117031</v>
      </c>
      <c r="V125" s="104">
        <f>V115+V86</f>
        <v>3801982.6119999997</v>
      </c>
      <c r="W125" s="105">
        <f>F125-V125</f>
        <v>516863.04200000037</v>
      </c>
      <c r="X125" s="106">
        <f>F125/V125*100</f>
        <v>113.59456617104593</v>
      </c>
      <c r="Y125" s="104">
        <v>3801982.6119999997</v>
      </c>
      <c r="Z125" s="104">
        <f>Y125-V125</f>
        <v>0</v>
      </c>
    </row>
    <row r="126" spans="1:26" s="13" customFormat="1" ht="20.25" x14ac:dyDescent="0.3">
      <c r="A126" s="28"/>
      <c r="B126" s="29"/>
      <c r="C126" s="30"/>
      <c r="D126" s="30"/>
      <c r="E126" s="155"/>
      <c r="F126" s="155"/>
      <c r="G126" s="155"/>
      <c r="H126" s="155"/>
      <c r="I126" s="155"/>
      <c r="J126" s="155"/>
      <c r="K126" s="155"/>
      <c r="L126" s="155"/>
      <c r="M126" s="155"/>
      <c r="N126" s="155"/>
      <c r="O126" s="155"/>
      <c r="P126" s="155"/>
      <c r="Q126" s="155"/>
      <c r="R126" s="155"/>
      <c r="S126" s="71"/>
      <c r="T126" s="72"/>
      <c r="U126" s="72"/>
      <c r="V126" s="155"/>
      <c r="W126" s="71"/>
      <c r="X126" s="72"/>
    </row>
    <row r="127" spans="1:26" s="13" customFormat="1" ht="46.5" hidden="1" customHeight="1" x14ac:dyDescent="0.4">
      <c r="A127" s="28"/>
      <c r="B127" s="132" t="s">
        <v>93</v>
      </c>
      <c r="C127" s="132"/>
      <c r="D127" s="132"/>
      <c r="E127" s="132"/>
      <c r="F127" s="132" t="s">
        <v>94</v>
      </c>
      <c r="G127" s="132"/>
      <c r="H127" s="132"/>
      <c r="I127" s="132"/>
      <c r="J127" s="132"/>
      <c r="K127" s="132"/>
      <c r="L127" s="132"/>
      <c r="M127" s="132"/>
      <c r="N127" s="132"/>
      <c r="O127" s="132"/>
      <c r="P127" s="132"/>
      <c r="Q127" s="132"/>
      <c r="R127" s="155"/>
      <c r="S127" s="71"/>
      <c r="T127" s="72"/>
      <c r="U127" s="72"/>
      <c r="V127" s="132"/>
      <c r="W127" s="71"/>
      <c r="X127" s="72"/>
    </row>
    <row r="128" spans="1:26" s="6" customFormat="1" ht="30.75" hidden="1" x14ac:dyDescent="0.45">
      <c r="A128" s="4"/>
      <c r="B128" s="23" t="s">
        <v>51</v>
      </c>
      <c r="C128" s="16"/>
      <c r="D128" s="16"/>
      <c r="E128" s="16"/>
      <c r="F128" s="156"/>
      <c r="G128" s="156"/>
      <c r="H128" s="156"/>
      <c r="I128" s="156"/>
      <c r="J128" s="156"/>
      <c r="K128" s="156"/>
      <c r="L128" s="156"/>
      <c r="M128" s="156"/>
      <c r="N128" s="156"/>
      <c r="O128" s="156"/>
      <c r="P128" s="156"/>
      <c r="Q128" s="156"/>
      <c r="R128" s="5"/>
      <c r="S128" s="73"/>
      <c r="T128" s="74"/>
      <c r="U128" s="74"/>
      <c r="V128" s="156"/>
      <c r="W128" s="73"/>
      <c r="X128" s="74"/>
    </row>
    <row r="129" spans="1:49" s="6" customFormat="1" ht="10.5" customHeight="1" x14ac:dyDescent="0.45">
      <c r="A129" s="4"/>
      <c r="B129" s="16"/>
      <c r="C129" s="16"/>
      <c r="D129" s="16"/>
      <c r="E129" s="96"/>
      <c r="F129" s="156"/>
      <c r="G129" s="156"/>
      <c r="H129" s="156"/>
      <c r="I129" s="156"/>
      <c r="J129" s="156"/>
      <c r="K129" s="156"/>
      <c r="L129" s="156"/>
      <c r="M129" s="156"/>
      <c r="N129" s="156"/>
      <c r="O129" s="156"/>
      <c r="P129" s="156"/>
      <c r="Q129" s="156"/>
      <c r="R129" s="5"/>
      <c r="S129" s="73"/>
      <c r="T129" s="74"/>
      <c r="U129" s="74"/>
      <c r="V129" s="156"/>
      <c r="W129" s="73"/>
      <c r="X129" s="74"/>
    </row>
    <row r="130" spans="1:49" s="2" customFormat="1" ht="30.75" hidden="1" x14ac:dyDescent="0.45">
      <c r="A130" s="21"/>
      <c r="B130" s="16"/>
      <c r="C130" s="16"/>
      <c r="D130" s="141">
        <v>4785057.2889999999</v>
      </c>
      <c r="E130" s="141">
        <v>4894290.9349999996</v>
      </c>
      <c r="F130" s="141">
        <v>4318845.6540000001</v>
      </c>
      <c r="G130" s="141">
        <v>297255.12099999998</v>
      </c>
      <c r="H130" s="141">
        <v>370917.83299999998</v>
      </c>
      <c r="I130" s="141">
        <v>352606.24</v>
      </c>
      <c r="J130" s="141">
        <v>379616.53399999999</v>
      </c>
      <c r="K130" s="141">
        <v>400975.80300000001</v>
      </c>
      <c r="L130" s="141">
        <v>459409.76799999998</v>
      </c>
      <c r="M130" s="141">
        <v>359984.35</v>
      </c>
      <c r="N130" s="141">
        <v>381984.45199999999</v>
      </c>
      <c r="O130" s="141">
        <v>402882.47</v>
      </c>
      <c r="P130" s="141"/>
      <c r="Q130" s="141">
        <v>460054.04599999997</v>
      </c>
      <c r="R130" s="141">
        <v>4336628.6679999996</v>
      </c>
      <c r="S130" s="3"/>
      <c r="T130" s="3"/>
      <c r="U130" s="3"/>
      <c r="V130" s="141"/>
      <c r="W130" s="3"/>
    </row>
    <row r="131" spans="1:49" ht="30.75" hidden="1" x14ac:dyDescent="0.45">
      <c r="B131" s="23"/>
      <c r="C131" s="156"/>
      <c r="D131" s="156"/>
      <c r="E131" s="156"/>
      <c r="F131" s="156"/>
      <c r="V131" s="156"/>
    </row>
    <row r="132" spans="1:49" s="157" customFormat="1" ht="30.75" hidden="1" x14ac:dyDescent="0.45">
      <c r="A132" s="22"/>
      <c r="B132" s="16"/>
      <c r="C132" s="16"/>
      <c r="D132" s="96"/>
      <c r="E132" s="16"/>
      <c r="F132" s="156"/>
      <c r="S132" s="160"/>
      <c r="T132" s="160"/>
      <c r="U132" s="160"/>
      <c r="V132" s="156"/>
      <c r="W132" s="160"/>
    </row>
    <row r="133" spans="1:49" s="157" customFormat="1" ht="30.75" hidden="1" x14ac:dyDescent="0.45">
      <c r="A133" s="22"/>
      <c r="B133" s="16"/>
      <c r="C133" s="16"/>
      <c r="D133" s="16"/>
      <c r="E133" s="16"/>
      <c r="F133" s="156"/>
      <c r="S133" s="160"/>
      <c r="T133" s="160"/>
      <c r="U133" s="160"/>
      <c r="V133" s="156"/>
      <c r="W133" s="160"/>
    </row>
    <row r="134" spans="1:49" s="157" customFormat="1" ht="30.75" hidden="1" x14ac:dyDescent="0.45">
      <c r="A134" s="22"/>
      <c r="B134" s="23"/>
      <c r="C134" s="156"/>
      <c r="D134" s="156"/>
      <c r="E134" s="156"/>
      <c r="F134" s="156"/>
      <c r="S134" s="160"/>
      <c r="T134" s="160"/>
      <c r="U134" s="160"/>
      <c r="V134" s="156"/>
      <c r="W134" s="160"/>
    </row>
    <row r="135" spans="1:49" ht="18.75" hidden="1" x14ac:dyDescent="0.3">
      <c r="B135" s="21"/>
      <c r="D135" s="141">
        <f t="shared" ref="D135:O135" si="109">D130-D125</f>
        <v>0</v>
      </c>
      <c r="E135" s="141">
        <f t="shared" si="109"/>
        <v>0</v>
      </c>
      <c r="F135" s="141">
        <f t="shared" si="109"/>
        <v>0</v>
      </c>
      <c r="G135" s="141">
        <f t="shared" si="109"/>
        <v>0</v>
      </c>
      <c r="H135" s="141">
        <f t="shared" si="109"/>
        <v>-1.9999999203719199E-3</v>
      </c>
      <c r="I135" s="141">
        <f t="shared" si="109"/>
        <v>9.9999998928979039E-4</v>
      </c>
      <c r="J135" s="141">
        <f t="shared" si="109"/>
        <v>0</v>
      </c>
      <c r="K135" s="141">
        <f t="shared" si="109"/>
        <v>0</v>
      </c>
      <c r="L135" s="141">
        <f t="shared" si="109"/>
        <v>0</v>
      </c>
      <c r="M135" s="141">
        <f t="shared" si="109"/>
        <v>0</v>
      </c>
      <c r="N135" s="141">
        <f t="shared" si="109"/>
        <v>0</v>
      </c>
      <c r="O135" s="141">
        <f t="shared" si="109"/>
        <v>0</v>
      </c>
      <c r="P135" s="141"/>
      <c r="Q135" s="141">
        <f>Q130-Q125</f>
        <v>0</v>
      </c>
      <c r="R135" s="141">
        <f>R130-R125</f>
        <v>0</v>
      </c>
      <c r="S135" s="189" t="s">
        <v>48</v>
      </c>
      <c r="T135" s="189"/>
      <c r="V135" s="141"/>
    </row>
    <row r="136" spans="1:49" ht="18.75" hidden="1" x14ac:dyDescent="0.3">
      <c r="B136" s="21"/>
      <c r="R136" s="89"/>
      <c r="S136" s="160"/>
      <c r="T136" s="160"/>
    </row>
    <row r="137" spans="1:49" ht="18.75" hidden="1" x14ac:dyDescent="0.3">
      <c r="B137" s="2"/>
      <c r="C137" s="153"/>
      <c r="D137" s="153"/>
      <c r="E137" s="88"/>
      <c r="F137" s="88"/>
      <c r="S137" s="189" t="s">
        <v>49</v>
      </c>
      <c r="T137" s="189"/>
      <c r="V137" s="88"/>
    </row>
    <row r="138" spans="1:49" ht="18.75" hidden="1" x14ac:dyDescent="0.3">
      <c r="B138" s="2"/>
      <c r="C138" s="153"/>
      <c r="D138" s="153"/>
      <c r="E138" s="88"/>
      <c r="F138" s="88"/>
      <c r="S138" s="160"/>
      <c r="T138" s="160"/>
    </row>
    <row r="139" spans="1:49" ht="22.5" hidden="1" x14ac:dyDescent="0.3">
      <c r="B139" s="2"/>
      <c r="C139" s="153"/>
      <c r="D139" s="153"/>
      <c r="E139" s="97"/>
      <c r="F139" s="97"/>
      <c r="S139" s="189" t="s">
        <v>50</v>
      </c>
      <c r="T139" s="189"/>
      <c r="V139" s="97"/>
    </row>
    <row r="140" spans="1:49" ht="18.75" hidden="1" x14ac:dyDescent="0.3">
      <c r="B140" s="2"/>
      <c r="C140" s="153"/>
      <c r="D140" s="153"/>
      <c r="E140" s="153"/>
      <c r="S140" s="160"/>
      <c r="T140" s="160"/>
    </row>
    <row r="141" spans="1:49" ht="18.75" hidden="1" x14ac:dyDescent="0.3">
      <c r="B141" s="2"/>
      <c r="C141" s="153"/>
      <c r="D141" s="153"/>
      <c r="E141" s="153"/>
    </row>
    <row r="142" spans="1:49" ht="39" customHeight="1" x14ac:dyDescent="0.35">
      <c r="B142" s="182" t="s">
        <v>235</v>
      </c>
      <c r="C142" s="153"/>
      <c r="D142" s="153"/>
      <c r="E142" s="153"/>
      <c r="R142" s="183" t="s">
        <v>236</v>
      </c>
    </row>
    <row r="143" spans="1:49" ht="18.75" x14ac:dyDescent="0.3">
      <c r="B143" s="2"/>
      <c r="C143" s="153"/>
      <c r="D143" s="153"/>
      <c r="E143" s="153"/>
    </row>
    <row r="144" spans="1:49" s="17" customFormat="1" ht="24.75" customHeight="1" x14ac:dyDescent="0.3">
      <c r="B144" s="2"/>
      <c r="C144" s="153"/>
      <c r="D144" s="153"/>
      <c r="E144" s="153"/>
      <c r="F144" s="153"/>
      <c r="G144" s="153"/>
      <c r="H144" s="153"/>
      <c r="I144" s="153"/>
      <c r="J144" s="153"/>
      <c r="K144" s="153"/>
      <c r="L144" s="153"/>
      <c r="M144" s="153"/>
      <c r="N144" s="153"/>
      <c r="O144" s="153"/>
      <c r="P144" s="153"/>
      <c r="Q144" s="153"/>
      <c r="R144" s="153"/>
      <c r="S144" s="1"/>
      <c r="T144" s="1"/>
      <c r="U144" s="1"/>
      <c r="V144" s="153"/>
      <c r="W144" s="1"/>
      <c r="X144" s="153"/>
      <c r="Y144" s="153"/>
      <c r="Z144" s="153"/>
      <c r="AA144" s="153"/>
      <c r="AB144" s="153"/>
      <c r="AC144" s="153"/>
      <c r="AD144" s="153"/>
      <c r="AE144" s="153"/>
      <c r="AF144" s="153"/>
      <c r="AG144" s="153"/>
      <c r="AH144" s="153"/>
      <c r="AI144" s="153"/>
      <c r="AJ144" s="153"/>
      <c r="AK144" s="153"/>
      <c r="AL144" s="153"/>
      <c r="AM144" s="153"/>
      <c r="AN144" s="153"/>
      <c r="AO144" s="153"/>
      <c r="AP144" s="153"/>
      <c r="AQ144" s="153"/>
      <c r="AR144" s="153"/>
      <c r="AS144" s="153"/>
      <c r="AT144" s="153"/>
      <c r="AU144" s="153"/>
      <c r="AV144" s="153"/>
      <c r="AW144" s="153"/>
    </row>
    <row r="145" spans="2:49" s="17" customFormat="1" ht="18.75" customHeight="1" x14ac:dyDescent="0.3">
      <c r="B145" s="184" t="s">
        <v>237</v>
      </c>
      <c r="C145" s="153"/>
      <c r="D145" s="153"/>
      <c r="E145" s="88"/>
      <c r="F145" s="88"/>
      <c r="G145" s="153"/>
      <c r="H145" s="153"/>
      <c r="I145" s="153"/>
      <c r="J145" s="153"/>
      <c r="K145" s="153"/>
      <c r="L145" s="153"/>
      <c r="M145" s="153"/>
      <c r="N145" s="153"/>
      <c r="O145" s="153"/>
      <c r="P145" s="153"/>
      <c r="Q145" s="153"/>
      <c r="R145" s="153"/>
      <c r="S145" s="1"/>
      <c r="T145" s="1"/>
      <c r="U145" s="1"/>
      <c r="V145" s="88"/>
      <c r="W145" s="1"/>
      <c r="X145" s="153"/>
      <c r="Y145" s="153"/>
      <c r="Z145" s="153"/>
      <c r="AA145" s="153"/>
      <c r="AB145" s="153"/>
      <c r="AC145" s="153"/>
      <c r="AD145" s="153"/>
      <c r="AE145" s="153"/>
      <c r="AF145" s="153"/>
      <c r="AG145" s="153"/>
      <c r="AH145" s="153"/>
      <c r="AI145" s="153"/>
      <c r="AJ145" s="153"/>
      <c r="AK145" s="153"/>
      <c r="AL145" s="153"/>
      <c r="AM145" s="153"/>
      <c r="AN145" s="153"/>
      <c r="AO145" s="153"/>
      <c r="AP145" s="153"/>
      <c r="AQ145" s="153"/>
      <c r="AR145" s="153"/>
      <c r="AS145" s="153"/>
      <c r="AT145" s="153"/>
      <c r="AU145" s="153"/>
      <c r="AV145" s="153"/>
      <c r="AW145" s="153"/>
    </row>
    <row r="146" spans="2:49" s="17" customFormat="1" ht="18.75" hidden="1" x14ac:dyDescent="0.3">
      <c r="B146" s="2"/>
      <c r="C146" s="153"/>
      <c r="D146" s="166"/>
      <c r="E146" s="153"/>
      <c r="F146" s="153"/>
      <c r="G146" s="153"/>
      <c r="H146" s="153"/>
      <c r="I146" s="153"/>
      <c r="J146" s="153"/>
      <c r="K146" s="153"/>
      <c r="L146" s="153"/>
      <c r="M146" s="153"/>
      <c r="N146" s="153"/>
      <c r="O146" s="153"/>
      <c r="P146" s="153"/>
      <c r="Q146" s="153"/>
      <c r="R146" s="153"/>
      <c r="S146" s="1"/>
      <c r="T146" s="1"/>
      <c r="U146" s="1"/>
      <c r="V146" s="153"/>
      <c r="W146" s="1"/>
      <c r="X146" s="153"/>
      <c r="Y146" s="153"/>
      <c r="Z146" s="153"/>
      <c r="AA146" s="153"/>
      <c r="AB146" s="153"/>
      <c r="AC146" s="153"/>
      <c r="AD146" s="153"/>
      <c r="AE146" s="153"/>
      <c r="AF146" s="153"/>
      <c r="AG146" s="153"/>
      <c r="AH146" s="153"/>
      <c r="AI146" s="153"/>
      <c r="AJ146" s="153"/>
      <c r="AK146" s="153"/>
      <c r="AL146" s="153"/>
      <c r="AM146" s="153"/>
      <c r="AN146" s="153"/>
      <c r="AO146" s="153"/>
      <c r="AP146" s="153"/>
      <c r="AQ146" s="153"/>
      <c r="AR146" s="153"/>
      <c r="AS146" s="153"/>
      <c r="AT146" s="153"/>
      <c r="AU146" s="153"/>
      <c r="AV146" s="153"/>
      <c r="AW146" s="153"/>
    </row>
    <row r="147" spans="2:49" s="17" customFormat="1" ht="18.75" hidden="1" x14ac:dyDescent="0.3">
      <c r="B147" s="2"/>
      <c r="C147" s="153"/>
      <c r="D147" s="153"/>
      <c r="E147" s="153"/>
      <c r="F147" s="153"/>
      <c r="G147" s="153"/>
      <c r="H147" s="153"/>
      <c r="I147" s="153"/>
      <c r="J147" s="153"/>
      <c r="K147" s="153"/>
      <c r="L147" s="153"/>
      <c r="M147" s="153"/>
      <c r="N147" s="153"/>
      <c r="O147" s="153"/>
      <c r="P147" s="153"/>
      <c r="Q147" s="153"/>
      <c r="R147" s="153"/>
      <c r="S147" s="1"/>
      <c r="T147" s="1"/>
      <c r="U147" s="1"/>
      <c r="V147" s="153"/>
      <c r="W147" s="1"/>
      <c r="X147" s="153"/>
      <c r="Y147" s="153"/>
      <c r="Z147" s="153"/>
      <c r="AA147" s="153"/>
      <c r="AB147" s="153"/>
      <c r="AC147" s="153"/>
      <c r="AD147" s="153"/>
      <c r="AE147" s="153"/>
      <c r="AF147" s="153"/>
      <c r="AG147" s="153"/>
      <c r="AH147" s="153"/>
      <c r="AI147" s="153"/>
      <c r="AJ147" s="153"/>
      <c r="AK147" s="153"/>
      <c r="AL147" s="153"/>
      <c r="AM147" s="153"/>
      <c r="AN147" s="153"/>
      <c r="AO147" s="153"/>
      <c r="AP147" s="153"/>
      <c r="AQ147" s="153"/>
      <c r="AR147" s="153"/>
      <c r="AS147" s="153"/>
      <c r="AT147" s="153"/>
      <c r="AU147" s="153"/>
      <c r="AV147" s="153"/>
      <c r="AW147" s="153"/>
    </row>
    <row r="148" spans="2:49" s="17" customFormat="1" ht="22.5" x14ac:dyDescent="0.3">
      <c r="B148" s="2"/>
      <c r="C148" s="153"/>
      <c r="D148" s="97"/>
      <c r="E148" s="153"/>
      <c r="F148" s="153"/>
      <c r="G148" s="153"/>
      <c r="H148" s="153"/>
      <c r="I148" s="153"/>
      <c r="J148" s="153"/>
      <c r="K148" s="153"/>
      <c r="L148" s="153"/>
      <c r="M148" s="153"/>
      <c r="N148" s="153"/>
      <c r="O148" s="153"/>
      <c r="P148" s="153"/>
      <c r="Q148" s="153"/>
      <c r="R148" s="153"/>
      <c r="S148" s="1"/>
      <c r="T148" s="1"/>
      <c r="U148" s="1"/>
      <c r="V148" s="153"/>
      <c r="W148" s="1"/>
      <c r="X148" s="153"/>
      <c r="Y148" s="153"/>
      <c r="Z148" s="153"/>
      <c r="AA148" s="153"/>
      <c r="AB148" s="153"/>
      <c r="AC148" s="153"/>
      <c r="AD148" s="153"/>
      <c r="AE148" s="153"/>
      <c r="AF148" s="153"/>
      <c r="AG148" s="153"/>
      <c r="AH148" s="153"/>
      <c r="AI148" s="153"/>
      <c r="AJ148" s="153"/>
      <c r="AK148" s="153"/>
      <c r="AL148" s="153"/>
      <c r="AM148" s="153"/>
      <c r="AN148" s="153"/>
      <c r="AO148" s="153"/>
      <c r="AP148" s="153"/>
      <c r="AQ148" s="153"/>
      <c r="AR148" s="153"/>
      <c r="AS148" s="153"/>
      <c r="AT148" s="153"/>
      <c r="AU148" s="153"/>
      <c r="AV148" s="153"/>
      <c r="AW148" s="153"/>
    </row>
    <row r="149" spans="2:49" s="17" customFormat="1" ht="18.75" x14ac:dyDescent="0.3">
      <c r="B149" s="2"/>
      <c r="C149" s="153"/>
      <c r="D149" s="153"/>
      <c r="E149" s="153"/>
      <c r="F149" s="88"/>
      <c r="G149" s="153"/>
      <c r="H149" s="153"/>
      <c r="I149" s="153"/>
      <c r="J149" s="153"/>
      <c r="K149" s="153"/>
      <c r="L149" s="153"/>
      <c r="M149" s="153"/>
      <c r="N149" s="153"/>
      <c r="O149" s="153"/>
      <c r="P149" s="153"/>
      <c r="Q149" s="153"/>
      <c r="R149" s="153"/>
      <c r="S149" s="1"/>
      <c r="T149" s="1"/>
      <c r="U149" s="1"/>
      <c r="V149" s="88"/>
      <c r="W149" s="1"/>
      <c r="X149" s="153"/>
      <c r="Y149" s="153"/>
      <c r="Z149" s="153"/>
      <c r="AA149" s="153"/>
      <c r="AB149" s="153"/>
      <c r="AC149" s="153"/>
      <c r="AD149" s="153"/>
      <c r="AE149" s="153"/>
      <c r="AF149" s="153"/>
      <c r="AG149" s="153"/>
      <c r="AH149" s="153"/>
      <c r="AI149" s="153"/>
      <c r="AJ149" s="153"/>
      <c r="AK149" s="153"/>
      <c r="AL149" s="153"/>
      <c r="AM149" s="153"/>
      <c r="AN149" s="153"/>
      <c r="AO149" s="153"/>
      <c r="AP149" s="153"/>
      <c r="AQ149" s="153"/>
      <c r="AR149" s="153"/>
      <c r="AS149" s="153"/>
      <c r="AT149" s="153"/>
      <c r="AU149" s="153"/>
      <c r="AV149" s="153"/>
      <c r="AW149" s="153"/>
    </row>
    <row r="150" spans="2:49" s="17" customFormat="1" ht="18.75" x14ac:dyDescent="0.3">
      <c r="B150" s="2"/>
      <c r="C150" s="153"/>
      <c r="D150" s="153"/>
      <c r="E150" s="153"/>
      <c r="F150" s="153"/>
      <c r="G150" s="153"/>
      <c r="H150" s="153"/>
      <c r="I150" s="153"/>
      <c r="J150" s="153"/>
      <c r="K150" s="153"/>
      <c r="L150" s="153"/>
      <c r="M150" s="153"/>
      <c r="N150" s="153"/>
      <c r="O150" s="153"/>
      <c r="P150" s="153"/>
      <c r="Q150" s="153"/>
      <c r="R150" s="153"/>
      <c r="S150" s="1"/>
      <c r="T150" s="1"/>
      <c r="U150" s="1"/>
      <c r="V150" s="153"/>
      <c r="W150" s="1"/>
      <c r="X150" s="153"/>
      <c r="Y150" s="153"/>
      <c r="Z150" s="153"/>
      <c r="AA150" s="153"/>
      <c r="AB150" s="153"/>
      <c r="AC150" s="153"/>
      <c r="AD150" s="153"/>
      <c r="AE150" s="153"/>
      <c r="AF150" s="153"/>
      <c r="AG150" s="153"/>
      <c r="AH150" s="153"/>
      <c r="AI150" s="153"/>
      <c r="AJ150" s="153"/>
      <c r="AK150" s="153"/>
      <c r="AL150" s="153"/>
      <c r="AM150" s="153"/>
      <c r="AN150" s="153"/>
      <c r="AO150" s="153"/>
      <c r="AP150" s="153"/>
      <c r="AQ150" s="153"/>
      <c r="AR150" s="153"/>
      <c r="AS150" s="153"/>
      <c r="AT150" s="153"/>
      <c r="AU150" s="153"/>
      <c r="AV150" s="153"/>
      <c r="AW150" s="153"/>
    </row>
    <row r="151" spans="2:49" s="17" customFormat="1" ht="18.75" x14ac:dyDescent="0.3">
      <c r="B151" s="2"/>
      <c r="C151" s="153"/>
      <c r="D151" s="153"/>
      <c r="E151" s="153"/>
      <c r="F151" s="153"/>
      <c r="G151" s="153"/>
      <c r="H151" s="153"/>
      <c r="I151" s="153"/>
      <c r="J151" s="153"/>
      <c r="K151" s="153"/>
      <c r="L151" s="153"/>
      <c r="M151" s="153"/>
      <c r="N151" s="153"/>
      <c r="O151" s="153"/>
      <c r="P151" s="153"/>
      <c r="Q151" s="153"/>
      <c r="R151" s="153"/>
      <c r="S151" s="1"/>
      <c r="T151" s="1"/>
      <c r="U151" s="1"/>
      <c r="V151" s="153"/>
      <c r="W151" s="1"/>
      <c r="X151" s="153"/>
      <c r="Y151" s="153"/>
      <c r="Z151" s="153"/>
      <c r="AA151" s="153"/>
      <c r="AB151" s="153"/>
      <c r="AC151" s="153"/>
      <c r="AD151" s="153"/>
      <c r="AE151" s="153"/>
      <c r="AF151" s="153"/>
      <c r="AG151" s="153"/>
      <c r="AH151" s="153"/>
      <c r="AI151" s="153"/>
      <c r="AJ151" s="153"/>
      <c r="AK151" s="153"/>
      <c r="AL151" s="153"/>
      <c r="AM151" s="153"/>
      <c r="AN151" s="153"/>
      <c r="AO151" s="153"/>
      <c r="AP151" s="153"/>
      <c r="AQ151" s="153"/>
      <c r="AR151" s="153"/>
      <c r="AS151" s="153"/>
      <c r="AT151" s="153"/>
      <c r="AU151" s="153"/>
      <c r="AV151" s="153"/>
      <c r="AW151" s="153"/>
    </row>
    <row r="152" spans="2:49" s="17" customFormat="1" ht="18.75" x14ac:dyDescent="0.3">
      <c r="B152" s="21"/>
      <c r="F152" s="153"/>
      <c r="G152" s="153"/>
      <c r="H152" s="153"/>
      <c r="I152" s="153"/>
      <c r="J152" s="153"/>
      <c r="K152" s="153"/>
      <c r="L152" s="153"/>
      <c r="M152" s="153"/>
      <c r="N152" s="153"/>
      <c r="O152" s="153"/>
      <c r="P152" s="153"/>
      <c r="Q152" s="153"/>
      <c r="R152" s="153"/>
      <c r="S152" s="1"/>
      <c r="T152" s="1"/>
      <c r="U152" s="1"/>
      <c r="V152" s="153"/>
      <c r="W152" s="1"/>
      <c r="X152" s="153"/>
      <c r="Y152" s="153"/>
      <c r="Z152" s="153"/>
      <c r="AA152" s="153"/>
      <c r="AB152" s="153"/>
      <c r="AC152" s="153"/>
      <c r="AD152" s="153"/>
      <c r="AE152" s="153"/>
      <c r="AF152" s="153"/>
      <c r="AG152" s="153"/>
      <c r="AH152" s="153"/>
      <c r="AI152" s="153"/>
      <c r="AJ152" s="153"/>
      <c r="AK152" s="153"/>
      <c r="AL152" s="153"/>
      <c r="AM152" s="153"/>
      <c r="AN152" s="153"/>
      <c r="AO152" s="153"/>
      <c r="AP152" s="153"/>
      <c r="AQ152" s="153"/>
      <c r="AR152" s="153"/>
      <c r="AS152" s="153"/>
      <c r="AT152" s="153"/>
      <c r="AU152" s="153"/>
      <c r="AV152" s="153"/>
      <c r="AW152" s="153"/>
    </row>
    <row r="153" spans="2:49" s="17" customFormat="1" ht="18.75" x14ac:dyDescent="0.3">
      <c r="B153" s="21"/>
      <c r="F153" s="153"/>
      <c r="G153" s="153"/>
      <c r="H153" s="153"/>
      <c r="I153" s="153"/>
      <c r="J153" s="153"/>
      <c r="K153" s="153"/>
      <c r="L153" s="153"/>
      <c r="M153" s="153"/>
      <c r="N153" s="153"/>
      <c r="O153" s="153"/>
      <c r="P153" s="153"/>
      <c r="Q153" s="153"/>
      <c r="R153" s="153"/>
      <c r="S153" s="1"/>
      <c r="T153" s="1"/>
      <c r="U153" s="1"/>
      <c r="V153" s="153"/>
      <c r="W153" s="1"/>
      <c r="X153" s="153"/>
      <c r="Y153" s="153"/>
      <c r="Z153" s="153"/>
      <c r="AA153" s="153"/>
      <c r="AB153" s="153"/>
      <c r="AC153" s="153"/>
      <c r="AD153" s="153"/>
      <c r="AE153" s="153"/>
      <c r="AF153" s="153"/>
      <c r="AG153" s="153"/>
      <c r="AH153" s="153"/>
      <c r="AI153" s="153"/>
      <c r="AJ153" s="153"/>
      <c r="AK153" s="153"/>
      <c r="AL153" s="153"/>
      <c r="AM153" s="153"/>
      <c r="AN153" s="153"/>
      <c r="AO153" s="153"/>
      <c r="AP153" s="153"/>
      <c r="AQ153" s="153"/>
      <c r="AR153" s="153"/>
      <c r="AS153" s="153"/>
      <c r="AT153" s="153"/>
      <c r="AU153" s="153"/>
      <c r="AV153" s="153"/>
      <c r="AW153" s="153"/>
    </row>
  </sheetData>
  <mergeCells count="34">
    <mergeCell ref="N3:N4"/>
    <mergeCell ref="O3:O4"/>
    <mergeCell ref="P3:P4"/>
    <mergeCell ref="I3:I4"/>
    <mergeCell ref="J3:J4"/>
    <mergeCell ref="K3:K4"/>
    <mergeCell ref="L3:L4"/>
    <mergeCell ref="M3:M4"/>
    <mergeCell ref="C3:C4"/>
    <mergeCell ref="D3:D4"/>
    <mergeCell ref="E3:E4"/>
    <mergeCell ref="F3:F4"/>
    <mergeCell ref="H3:H4"/>
    <mergeCell ref="S137:T137"/>
    <mergeCell ref="S139:T139"/>
    <mergeCell ref="C19:C21"/>
    <mergeCell ref="A61:A63"/>
    <mergeCell ref="C61:C63"/>
    <mergeCell ref="A1:X1"/>
    <mergeCell ref="A6:X6"/>
    <mergeCell ref="A87:X87"/>
    <mergeCell ref="A116:X116"/>
    <mergeCell ref="S135:T135"/>
    <mergeCell ref="X3:X4"/>
    <mergeCell ref="R3:R4"/>
    <mergeCell ref="S3:S4"/>
    <mergeCell ref="T3:T4"/>
    <mergeCell ref="U3:U4"/>
    <mergeCell ref="V3:V4"/>
    <mergeCell ref="W3:W4"/>
    <mergeCell ref="A3:A4"/>
    <mergeCell ref="G3:G4"/>
    <mergeCell ref="Q3:Q4"/>
    <mergeCell ref="B3:B4"/>
  </mergeCells>
  <printOptions horizontalCentered="1"/>
  <pageMargins left="0.39370078740157483" right="0" top="0" bottom="0" header="0.23622047244094491" footer="0.11811023622047245"/>
  <pageSetup paperSize="8" scale="64" fitToHeight="10" orientation="landscape" horizontalDpi="300" verticalDpi="300" r:id="rId1"/>
  <headerFooter alignWithMargins="0"/>
  <rowBreaks count="2" manualBreakCount="2">
    <brk id="86" max="23" man="1"/>
    <brk id="105" max="2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A029950C053C244A6A9F13E4B878893" ma:contentTypeVersion="0" ma:contentTypeDescription="Створення нового документа." ma:contentTypeScope="" ma:versionID="8013ad39d31bd0b6f241a0d4cccdf3c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6c1214ede72f45502cafdd67aec15b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 ma:readOnly="true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97165E8A-1497-4595-9DEC-0A096D65444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3D7FED-1DE7-42FA-B81E-F9B480DFCB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EDC5F1B-D535-4A3F-8E8B-D26E9B299826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2021</vt:lpstr>
      <vt:lpstr>'2021'!Print_Area</vt:lpstr>
      <vt:lpstr>'2021'!Print_Titles</vt:lpstr>
      <vt:lpstr>'2021'!Заголовки_для_печати</vt:lpstr>
      <vt:lpstr>'2021'!Область_печати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Шевчук Наталія Борисівна</cp:lastModifiedBy>
  <cp:lastPrinted>2021-12-01T07:58:27Z</cp:lastPrinted>
  <dcterms:created xsi:type="dcterms:W3CDTF">1996-10-08T23:32:33Z</dcterms:created>
  <dcterms:modified xsi:type="dcterms:W3CDTF">2021-12-08T13:00:38Z</dcterms:modified>
</cp:coreProperties>
</file>